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Kevin\Dropbox\Administracion\2025\FINANZAS 2025\"/>
    </mc:Choice>
  </mc:AlternateContent>
  <xr:revisionPtr revIDLastSave="0" documentId="13_ncr:1_{F1F77DCF-7DB7-4627-A5CC-DC8275774C65}" xr6:coauthVersionLast="47" xr6:coauthVersionMax="47" xr10:uidLastSave="{00000000-0000-0000-0000-000000000000}"/>
  <bookViews>
    <workbookView xWindow="-120" yWindow="-120" windowWidth="20730" windowHeight="11160" firstSheet="1" activeTab="4" xr2:uid="{CE3AB319-23DC-49A2-B43D-7578FB3CD1E7}"/>
  </bookViews>
  <sheets>
    <sheet name="BALANCE" sheetId="42" r:id="rId1"/>
    <sheet name="EPN" sheetId="44" r:id="rId2"/>
    <sheet name="RESUMEN" sheetId="39" r:id="rId3"/>
    <sheet name="RDOS" sheetId="41" r:id="rId4"/>
    <sheet name="MOV" sheetId="38" r:id="rId5"/>
    <sheet name="ACTIVIDADES" sheetId="45" r:id="rId6"/>
    <sheet name="CAPITAL" sheetId="46" state="hidden" r:id="rId7"/>
    <sheet name="LISTA" sheetId="9" state="hidden" r:id="rId8"/>
  </sheets>
  <externalReferences>
    <externalReference r:id="rId9"/>
    <externalReference r:id="rId10"/>
    <externalReference r:id="rId11"/>
  </externalReferences>
  <definedNames>
    <definedName name="act" localSheetId="0">#REF!</definedName>
    <definedName name="ACT">#REF!</definedName>
    <definedName name="ACTIVIDAD" localSheetId="0">#REF!</definedName>
    <definedName name="ACTIVIDAD">#REF!</definedName>
    <definedName name="ADMINISTRACION">#REF!</definedName>
    <definedName name="AGRICULTURA">#REF!</definedName>
    <definedName name="AMORTBI">'[1]Bal1202-200603'!$U$226</definedName>
    <definedName name="AMORTBU">'[1]Bal1202-200603'!$U$225</definedName>
    <definedName name="BASEDATOS">#REF!</definedName>
    <definedName name="BOVINOS">#REF!</definedName>
    <definedName name="CAPRINOS">#REF!</definedName>
    <definedName name="COMBUSTIBLE">#REF!</definedName>
    <definedName name="EOAF">'[1]Bal1202-200603'!$E$10:$R$251</definedName>
    <definedName name="EOAF1">'[1]Bal1202-200603'!$R$10:$R$251</definedName>
    <definedName name="EST" localSheetId="0">#REF!</definedName>
    <definedName name="EST">#REF!</definedName>
    <definedName name="ESTADO" localSheetId="0">#REF!</definedName>
    <definedName name="ESTADO">[2]LISTAS!$O$3:$O$6</definedName>
    <definedName name="ESTRUCTURA" localSheetId="0">#REF!</definedName>
    <definedName name="ESTRUCTURA">#REF!</definedName>
    <definedName name="FORRAJE" localSheetId="0">#REF!</definedName>
    <definedName name="FORRAJE">#REF!</definedName>
    <definedName name="FR">#REF!</definedName>
    <definedName name="GANADERIA">#REF!</definedName>
    <definedName name="GENERAL">#REF!</definedName>
    <definedName name="IMPUESTOS">#REF!</definedName>
    <definedName name="INTERESES">#REF!</definedName>
    <definedName name="MAQUINARIA">#REF!</definedName>
    <definedName name="OVINO">#REF!</definedName>
    <definedName name="PORCINOS">#REF!</definedName>
    <definedName name="SEGUROS">#REF!</definedName>
    <definedName name="SEMILLAS" localSheetId="0">#REF!</definedName>
    <definedName name="SEMILLAS">[3]!Tabla4[#All]</definedName>
    <definedName name="SOCIOS" localSheetId="0">#REF!</definedName>
    <definedName name="SOCIOS">#REF!</definedName>
    <definedName name="SUELDOS" localSheetId="0">#REF!</definedName>
    <definedName name="SUELDOS">#REF!</definedName>
    <definedName name="TIPO_FACT" localSheetId="0">#REF!</definedName>
    <definedName name="TIPO_FACT">[2]LISTAS!$S$3:$S$7</definedName>
  </definedNames>
  <calcPr calcId="191028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36" i="38" l="1"/>
  <c r="K636" i="38"/>
  <c r="J637" i="38"/>
  <c r="K637" i="38"/>
  <c r="G636" i="38"/>
  <c r="G637" i="38"/>
  <c r="J153" i="38"/>
  <c r="K153" i="38"/>
  <c r="J154" i="38"/>
  <c r="K154" i="38"/>
  <c r="G153" i="38"/>
  <c r="G154" i="38"/>
  <c r="A1388" i="38"/>
  <c r="J1377" i="38"/>
  <c r="K1377" i="38"/>
  <c r="J1378" i="38"/>
  <c r="K1378" i="38"/>
  <c r="J1379" i="38"/>
  <c r="K1379" i="38"/>
  <c r="J1380" i="38"/>
  <c r="K1380" i="38"/>
  <c r="J1381" i="38"/>
  <c r="K1381" i="38"/>
  <c r="J1382" i="38"/>
  <c r="K1382" i="38"/>
  <c r="J1383" i="38"/>
  <c r="K1383" i="38"/>
  <c r="J1384" i="38"/>
  <c r="K1384" i="38"/>
  <c r="J1385" i="38"/>
  <c r="K1385" i="38"/>
  <c r="J1386" i="38"/>
  <c r="K1386" i="38"/>
  <c r="J1387" i="38"/>
  <c r="K1387" i="38"/>
  <c r="J1388" i="38"/>
  <c r="K1388" i="38"/>
  <c r="J1389" i="38"/>
  <c r="K1389" i="38"/>
  <c r="J1390" i="38"/>
  <c r="K1390" i="38"/>
  <c r="J1391" i="38"/>
  <c r="K1391" i="38"/>
  <c r="J1392" i="38"/>
  <c r="K1392" i="38"/>
  <c r="J1393" i="38"/>
  <c r="K1393" i="38"/>
  <c r="J1394" i="38"/>
  <c r="K1394" i="38"/>
  <c r="J1395" i="38"/>
  <c r="K1395" i="38"/>
  <c r="G1378" i="38"/>
  <c r="G1379" i="38"/>
  <c r="G1380" i="38"/>
  <c r="G1381" i="38"/>
  <c r="G1382" i="38"/>
  <c r="G1383" i="38"/>
  <c r="G1384" i="38"/>
  <c r="G1385" i="38"/>
  <c r="G1386" i="38"/>
  <c r="G1387" i="38"/>
  <c r="G1388" i="38"/>
  <c r="G1389" i="38"/>
  <c r="G1390" i="38"/>
  <c r="G1391" i="38"/>
  <c r="G1392" i="38"/>
  <c r="G1393" i="38"/>
  <c r="G1394" i="38"/>
  <c r="G1395" i="38"/>
  <c r="J632" i="38"/>
  <c r="K632" i="38"/>
  <c r="J633" i="38"/>
  <c r="K633" i="38"/>
  <c r="J634" i="38"/>
  <c r="K634" i="38"/>
  <c r="J635" i="38"/>
  <c r="K635" i="38"/>
  <c r="G632" i="38"/>
  <c r="G633" i="38"/>
  <c r="G634" i="38"/>
  <c r="G635" i="38"/>
  <c r="J1371" i="38"/>
  <c r="K1371" i="38"/>
  <c r="J1372" i="38"/>
  <c r="K1372" i="38"/>
  <c r="J1373" i="38"/>
  <c r="K1373" i="38"/>
  <c r="J1374" i="38"/>
  <c r="K1374" i="38"/>
  <c r="J1375" i="38"/>
  <c r="K1375" i="38"/>
  <c r="J1376" i="38"/>
  <c r="K1376" i="38"/>
  <c r="G1371" i="38"/>
  <c r="G1372" i="38"/>
  <c r="G1373" i="38"/>
  <c r="G1374" i="38"/>
  <c r="G1375" i="38"/>
  <c r="G1376" i="38"/>
  <c r="G1377" i="38"/>
  <c r="G1396" i="38"/>
  <c r="J573" i="38"/>
  <c r="K573" i="38"/>
  <c r="G573" i="38"/>
  <c r="J572" i="38"/>
  <c r="K572" i="38"/>
  <c r="G572" i="38"/>
  <c r="J1361" i="38"/>
  <c r="K1361" i="38"/>
  <c r="J1362" i="38"/>
  <c r="K1362" i="38"/>
  <c r="J1363" i="38"/>
  <c r="K1363" i="38"/>
  <c r="J1364" i="38"/>
  <c r="K1364" i="38"/>
  <c r="J1365" i="38"/>
  <c r="K1365" i="38"/>
  <c r="J1366" i="38"/>
  <c r="K1366" i="38"/>
  <c r="J1367" i="38"/>
  <c r="K1367" i="38"/>
  <c r="J1368" i="38"/>
  <c r="K1368" i="38"/>
  <c r="J1369" i="38"/>
  <c r="K1369" i="38"/>
  <c r="J1370" i="38"/>
  <c r="K1370" i="38"/>
  <c r="G1361" i="38"/>
  <c r="G1362" i="38"/>
  <c r="G1363" i="38"/>
  <c r="G1364" i="38"/>
  <c r="G1365" i="38"/>
  <c r="G1366" i="38"/>
  <c r="G1367" i="38"/>
  <c r="G1368" i="38"/>
  <c r="G1369" i="38"/>
  <c r="G1370" i="38"/>
  <c r="J343" i="38"/>
  <c r="K343" i="38"/>
  <c r="J344" i="38"/>
  <c r="K344" i="38"/>
  <c r="G343" i="38"/>
  <c r="G344" i="38"/>
  <c r="J1350" i="38"/>
  <c r="K1350" i="38"/>
  <c r="J1351" i="38"/>
  <c r="K1351" i="38"/>
  <c r="J1352" i="38"/>
  <c r="K1352" i="38"/>
  <c r="J1353" i="38"/>
  <c r="K1353" i="38"/>
  <c r="J1354" i="38"/>
  <c r="K1354" i="38"/>
  <c r="J1355" i="38"/>
  <c r="K1355" i="38"/>
  <c r="J1356" i="38"/>
  <c r="K1356" i="38"/>
  <c r="J1357" i="38"/>
  <c r="K1357" i="38"/>
  <c r="J1358" i="38"/>
  <c r="K1358" i="38"/>
  <c r="J1359" i="38"/>
  <c r="K1359" i="38"/>
  <c r="J1360" i="38"/>
  <c r="K1360" i="38"/>
  <c r="G1350" i="38"/>
  <c r="G1351" i="38"/>
  <c r="G1352" i="38"/>
  <c r="G1353" i="38"/>
  <c r="G1354" i="38"/>
  <c r="G1355" i="38"/>
  <c r="G1356" i="38"/>
  <c r="G1357" i="38"/>
  <c r="G1358" i="38"/>
  <c r="G1359" i="38"/>
  <c r="G1360" i="38"/>
  <c r="J1396" i="38"/>
  <c r="K1396" i="38"/>
  <c r="G1397" i="38"/>
  <c r="J1397" i="38"/>
  <c r="K1397" i="38"/>
  <c r="G1398" i="38"/>
  <c r="J1398" i="38"/>
  <c r="K1398" i="38"/>
  <c r="G1399" i="38"/>
  <c r="J1399" i="38"/>
  <c r="K1399" i="38"/>
  <c r="G1400" i="38"/>
  <c r="J1400" i="38"/>
  <c r="K1400" i="38"/>
  <c r="G1401" i="38"/>
  <c r="J1401" i="38"/>
  <c r="K1401" i="38"/>
  <c r="G1402" i="38"/>
  <c r="J1402" i="38"/>
  <c r="K1402" i="38"/>
  <c r="G1403" i="38"/>
  <c r="J1403" i="38"/>
  <c r="K1403" i="38"/>
  <c r="J150" i="38"/>
  <c r="K150" i="38"/>
  <c r="J151" i="38"/>
  <c r="K151" i="38"/>
  <c r="J152" i="38"/>
  <c r="K152" i="38"/>
  <c r="G150" i="38"/>
  <c r="G151" i="38"/>
  <c r="G152" i="38"/>
  <c r="J570" i="38"/>
  <c r="K570" i="38"/>
  <c r="J571" i="38"/>
  <c r="K571" i="38"/>
  <c r="G570" i="38"/>
  <c r="G571" i="38"/>
  <c r="J1343" i="38"/>
  <c r="K1343" i="38"/>
  <c r="J1344" i="38"/>
  <c r="K1344" i="38"/>
  <c r="J1345" i="38"/>
  <c r="K1345" i="38"/>
  <c r="J1346" i="38"/>
  <c r="K1346" i="38"/>
  <c r="J1347" i="38"/>
  <c r="K1347" i="38"/>
  <c r="J1348" i="38"/>
  <c r="K1348" i="38"/>
  <c r="J1349" i="38"/>
  <c r="K1349" i="38"/>
  <c r="G1343" i="38"/>
  <c r="G1344" i="38"/>
  <c r="G1345" i="38"/>
  <c r="G1346" i="38"/>
  <c r="G1347" i="38"/>
  <c r="G1348" i="38"/>
  <c r="G1349" i="38"/>
  <c r="J62" i="45"/>
  <c r="P34" i="45"/>
  <c r="S34" i="45"/>
  <c r="D34" i="45"/>
  <c r="D62" i="45" s="1"/>
  <c r="J569" i="38"/>
  <c r="K569" i="38"/>
  <c r="G569" i="38"/>
  <c r="J1337" i="38"/>
  <c r="K1337" i="38"/>
  <c r="J1338" i="38"/>
  <c r="K1338" i="38"/>
  <c r="J1339" i="38"/>
  <c r="K1339" i="38"/>
  <c r="J1340" i="38"/>
  <c r="K1340" i="38"/>
  <c r="J1341" i="38"/>
  <c r="K1341" i="38"/>
  <c r="J1342" i="38"/>
  <c r="K1342" i="38"/>
  <c r="G1337" i="38"/>
  <c r="G1338" i="38"/>
  <c r="G1339" i="38"/>
  <c r="G1340" i="38"/>
  <c r="G1341" i="38"/>
  <c r="G1342" i="38"/>
  <c r="J567" i="38"/>
  <c r="K567" i="38"/>
  <c r="J568" i="38"/>
  <c r="K568" i="38"/>
  <c r="G567" i="38"/>
  <c r="G568" i="38"/>
  <c r="J1328" i="38"/>
  <c r="K1328" i="38"/>
  <c r="J1329" i="38"/>
  <c r="K1329" i="38"/>
  <c r="J1330" i="38"/>
  <c r="K1330" i="38"/>
  <c r="J1331" i="38"/>
  <c r="K1331" i="38"/>
  <c r="J1332" i="38"/>
  <c r="K1332" i="38"/>
  <c r="J1333" i="38"/>
  <c r="K1333" i="38"/>
  <c r="J1334" i="38"/>
  <c r="K1334" i="38"/>
  <c r="J1335" i="38"/>
  <c r="K1335" i="38"/>
  <c r="J1336" i="38"/>
  <c r="K1336" i="38"/>
  <c r="G1328" i="38"/>
  <c r="G1329" i="38"/>
  <c r="G1330" i="38"/>
  <c r="G1331" i="38"/>
  <c r="G1332" i="38"/>
  <c r="G1333" i="38"/>
  <c r="G1334" i="38"/>
  <c r="G1335" i="38"/>
  <c r="G1336" i="38"/>
  <c r="J566" i="38"/>
  <c r="K566" i="38"/>
  <c r="G566" i="38"/>
  <c r="J1323" i="38"/>
  <c r="K1323" i="38"/>
  <c r="J1324" i="38"/>
  <c r="K1324" i="38"/>
  <c r="J1325" i="38"/>
  <c r="K1325" i="38"/>
  <c r="J1326" i="38"/>
  <c r="K1326" i="38"/>
  <c r="J1327" i="38"/>
  <c r="K1327" i="38"/>
  <c r="G1323" i="38"/>
  <c r="G1324" i="38"/>
  <c r="G1325" i="38"/>
  <c r="G1326" i="38"/>
  <c r="G1327" i="38"/>
  <c r="J1318" i="38"/>
  <c r="K1318" i="38"/>
  <c r="J1319" i="38"/>
  <c r="K1319" i="38"/>
  <c r="J1320" i="38"/>
  <c r="K1320" i="38"/>
  <c r="J1321" i="38"/>
  <c r="K1321" i="38"/>
  <c r="J1322" i="38"/>
  <c r="K1322" i="38"/>
  <c r="G1318" i="38"/>
  <c r="G1319" i="38"/>
  <c r="G1320" i="38"/>
  <c r="G1321" i="38"/>
  <c r="G1322" i="38"/>
  <c r="J1429" i="38"/>
  <c r="K1429" i="38"/>
  <c r="J1430" i="38"/>
  <c r="K1430" i="38"/>
  <c r="J1431" i="38"/>
  <c r="K1431" i="38"/>
  <c r="J1432" i="38"/>
  <c r="K1432" i="38"/>
  <c r="J1433" i="38"/>
  <c r="K1433" i="38"/>
  <c r="J1434" i="38"/>
  <c r="K1434" i="38"/>
  <c r="J1435" i="38"/>
  <c r="K1435" i="38"/>
  <c r="J1436" i="38"/>
  <c r="K1436" i="38"/>
  <c r="G1429" i="38"/>
  <c r="G1430" i="38"/>
  <c r="G1431" i="38"/>
  <c r="G1432" i="38"/>
  <c r="G1433" i="38"/>
  <c r="G1434" i="38"/>
  <c r="G1435" i="38"/>
  <c r="G1436" i="38"/>
  <c r="J629" i="38"/>
  <c r="K629" i="38"/>
  <c r="J630" i="38"/>
  <c r="K630" i="38"/>
  <c r="J631" i="38"/>
  <c r="K631" i="38"/>
  <c r="G629" i="38"/>
  <c r="G630" i="38"/>
  <c r="G631" i="38"/>
  <c r="J1314" i="38"/>
  <c r="K1314" i="38"/>
  <c r="J1315" i="38"/>
  <c r="K1315" i="38"/>
  <c r="J1316" i="38"/>
  <c r="K1316" i="38"/>
  <c r="J1317" i="38"/>
  <c r="K1317" i="38"/>
  <c r="G1314" i="38"/>
  <c r="G1315" i="38"/>
  <c r="G1316" i="38"/>
  <c r="G1317" i="38"/>
  <c r="J1304" i="38" l="1"/>
  <c r="K1304" i="38"/>
  <c r="J1305" i="38"/>
  <c r="K1305" i="38"/>
  <c r="J1306" i="38"/>
  <c r="K1306" i="38"/>
  <c r="J1307" i="38"/>
  <c r="K1307" i="38"/>
  <c r="J1308" i="38"/>
  <c r="K1308" i="38"/>
  <c r="J1309" i="38"/>
  <c r="K1309" i="38"/>
  <c r="J1310" i="38"/>
  <c r="K1310" i="38"/>
  <c r="J1311" i="38"/>
  <c r="K1311" i="38"/>
  <c r="J1312" i="38"/>
  <c r="K1312" i="38"/>
  <c r="J1313" i="38"/>
  <c r="K1313" i="38"/>
  <c r="G1304" i="38"/>
  <c r="G1305" i="38"/>
  <c r="G1306" i="38"/>
  <c r="G1307" i="38"/>
  <c r="G1308" i="38"/>
  <c r="G1309" i="38"/>
  <c r="G1310" i="38"/>
  <c r="G1311" i="38"/>
  <c r="G1312" i="38"/>
  <c r="G1313" i="38"/>
  <c r="J1297" i="38"/>
  <c r="K1297" i="38"/>
  <c r="J1298" i="38"/>
  <c r="K1298" i="38"/>
  <c r="J1299" i="38"/>
  <c r="K1299" i="38"/>
  <c r="J1300" i="38"/>
  <c r="K1300" i="38"/>
  <c r="J1301" i="38"/>
  <c r="K1301" i="38"/>
  <c r="J1302" i="38"/>
  <c r="K1302" i="38"/>
  <c r="J1303" i="38"/>
  <c r="K1303" i="38"/>
  <c r="G1297" i="38"/>
  <c r="G1298" i="38"/>
  <c r="G1299" i="38"/>
  <c r="G1300" i="38"/>
  <c r="G1301" i="38"/>
  <c r="G1302" i="38"/>
  <c r="G1303" i="38"/>
  <c r="J565" i="38"/>
  <c r="K565" i="38"/>
  <c r="G565" i="38"/>
  <c r="J1289" i="38"/>
  <c r="K1289" i="38"/>
  <c r="J1290" i="38"/>
  <c r="K1290" i="38"/>
  <c r="J1291" i="38"/>
  <c r="K1291" i="38"/>
  <c r="J1292" i="38"/>
  <c r="K1292" i="38"/>
  <c r="J1293" i="38"/>
  <c r="K1293" i="38"/>
  <c r="J1294" i="38"/>
  <c r="K1294" i="38"/>
  <c r="J1295" i="38"/>
  <c r="K1295" i="38"/>
  <c r="J1296" i="38"/>
  <c r="K1296" i="38"/>
  <c r="G1289" i="38"/>
  <c r="G1290" i="38"/>
  <c r="G1291" i="38"/>
  <c r="G1292" i="38"/>
  <c r="G1293" i="38"/>
  <c r="G1294" i="38"/>
  <c r="G1295" i="38"/>
  <c r="G1296" i="38"/>
  <c r="J563" i="38"/>
  <c r="K563" i="38"/>
  <c r="J564" i="38"/>
  <c r="K564" i="38"/>
  <c r="G563" i="38"/>
  <c r="G564" i="38"/>
  <c r="J1282" i="38"/>
  <c r="K1282" i="38"/>
  <c r="J1283" i="38"/>
  <c r="K1283" i="38"/>
  <c r="J1284" i="38"/>
  <c r="K1284" i="38"/>
  <c r="J1285" i="38"/>
  <c r="K1285" i="38"/>
  <c r="J1286" i="38"/>
  <c r="K1286" i="38"/>
  <c r="J1287" i="38"/>
  <c r="K1287" i="38"/>
  <c r="J1288" i="38"/>
  <c r="K1288" i="38"/>
  <c r="G1282" i="38"/>
  <c r="G1283" i="38"/>
  <c r="G1284" i="38"/>
  <c r="G1285" i="38"/>
  <c r="G1286" i="38"/>
  <c r="G1287" i="38"/>
  <c r="G1288" i="38"/>
  <c r="J562" i="38" l="1"/>
  <c r="K562" i="38"/>
  <c r="G562" i="38"/>
  <c r="J1280" i="38"/>
  <c r="K1280" i="38"/>
  <c r="J1281" i="38"/>
  <c r="K1281" i="38"/>
  <c r="G1280" i="38"/>
  <c r="G1281" i="38"/>
  <c r="J561" i="38"/>
  <c r="K561" i="38"/>
  <c r="G561" i="38"/>
  <c r="J1276" i="38"/>
  <c r="K1276" i="38"/>
  <c r="J1277" i="38"/>
  <c r="K1277" i="38"/>
  <c r="J1278" i="38"/>
  <c r="K1278" i="38"/>
  <c r="J1279" i="38"/>
  <c r="K1279" i="38"/>
  <c r="G1276" i="38"/>
  <c r="G1277" i="38"/>
  <c r="G1278" i="38"/>
  <c r="G1279" i="38"/>
  <c r="J1423" i="38"/>
  <c r="K1423" i="38"/>
  <c r="J1424" i="38"/>
  <c r="K1424" i="38"/>
  <c r="J1425" i="38"/>
  <c r="K1425" i="38"/>
  <c r="J1426" i="38"/>
  <c r="K1426" i="38"/>
  <c r="J1427" i="38"/>
  <c r="K1427" i="38"/>
  <c r="J1428" i="38"/>
  <c r="K1428" i="38"/>
  <c r="G1428" i="38"/>
  <c r="G1427" i="38"/>
  <c r="G1426" i="38"/>
  <c r="G1425" i="38"/>
  <c r="J1422" i="38"/>
  <c r="K1422" i="38"/>
  <c r="G1422" i="38"/>
  <c r="G1423" i="38"/>
  <c r="G1424" i="38"/>
  <c r="J1269" i="38"/>
  <c r="K1269" i="38"/>
  <c r="J1270" i="38"/>
  <c r="K1270" i="38"/>
  <c r="J1271" i="38"/>
  <c r="K1271" i="38"/>
  <c r="J1272" i="38"/>
  <c r="K1272" i="38"/>
  <c r="J1273" i="38"/>
  <c r="K1273" i="38"/>
  <c r="J1274" i="38"/>
  <c r="K1274" i="38"/>
  <c r="J1275" i="38"/>
  <c r="K1275" i="38"/>
  <c r="G1269" i="38"/>
  <c r="G1270" i="38"/>
  <c r="G1271" i="38"/>
  <c r="G1272" i="38"/>
  <c r="G1273" i="38"/>
  <c r="G1274" i="38"/>
  <c r="G1275" i="38"/>
  <c r="R35" i="45"/>
  <c r="P35" i="45"/>
  <c r="R40" i="45"/>
  <c r="J35" i="45"/>
  <c r="K35" i="45"/>
  <c r="L35" i="45"/>
  <c r="M35" i="45"/>
  <c r="N35" i="45"/>
  <c r="J558" i="38"/>
  <c r="K558" i="38"/>
  <c r="J559" i="38"/>
  <c r="K559" i="38"/>
  <c r="J560" i="38"/>
  <c r="K560" i="38"/>
  <c r="G558" i="38"/>
  <c r="G559" i="38"/>
  <c r="G560" i="38"/>
  <c r="J1263" i="38"/>
  <c r="K1263" i="38"/>
  <c r="J1264" i="38"/>
  <c r="K1264" i="38"/>
  <c r="J1265" i="38"/>
  <c r="K1265" i="38"/>
  <c r="J1266" i="38"/>
  <c r="K1266" i="38"/>
  <c r="J1267" i="38"/>
  <c r="K1267" i="38"/>
  <c r="J1268" i="38"/>
  <c r="K1268" i="38"/>
  <c r="G1263" i="38"/>
  <c r="G1264" i="38"/>
  <c r="G1265" i="38"/>
  <c r="G1266" i="38"/>
  <c r="G1267" i="38"/>
  <c r="G1268" i="38"/>
  <c r="J1257" i="38"/>
  <c r="K1257" i="38"/>
  <c r="J1258" i="38"/>
  <c r="K1258" i="38"/>
  <c r="J1259" i="38"/>
  <c r="K1259" i="38"/>
  <c r="J1260" i="38"/>
  <c r="K1260" i="38"/>
  <c r="J1261" i="38"/>
  <c r="K1261" i="38"/>
  <c r="J1262" i="38"/>
  <c r="K1262" i="38"/>
  <c r="G1257" i="38"/>
  <c r="G1258" i="38"/>
  <c r="G1259" i="38"/>
  <c r="G1260" i="38"/>
  <c r="G1261" i="38"/>
  <c r="G1262" i="38"/>
  <c r="I39" i="45"/>
  <c r="I38" i="45"/>
  <c r="I37" i="45"/>
  <c r="I36" i="45"/>
  <c r="J335" i="38"/>
  <c r="K335" i="38"/>
  <c r="J336" i="38"/>
  <c r="K336" i="38"/>
  <c r="J337" i="38"/>
  <c r="K337" i="38"/>
  <c r="J338" i="38"/>
  <c r="K338" i="38"/>
  <c r="J339" i="38"/>
  <c r="K339" i="38"/>
  <c r="J340" i="38"/>
  <c r="K340" i="38"/>
  <c r="J341" i="38"/>
  <c r="K341" i="38"/>
  <c r="J342" i="38"/>
  <c r="K342" i="38"/>
  <c r="G336" i="38"/>
  <c r="G337" i="38"/>
  <c r="G338" i="38"/>
  <c r="G339" i="38"/>
  <c r="G340" i="38"/>
  <c r="G341" i="38"/>
  <c r="G335" i="38"/>
  <c r="G342" i="38"/>
  <c r="J556" i="38"/>
  <c r="K556" i="38"/>
  <c r="J557" i="38"/>
  <c r="K557" i="38"/>
  <c r="G557" i="38"/>
  <c r="G556" i="38"/>
  <c r="J1252" i="38"/>
  <c r="K1252" i="38"/>
  <c r="J1253" i="38"/>
  <c r="K1253" i="38"/>
  <c r="J1254" i="38"/>
  <c r="K1254" i="38"/>
  <c r="J1255" i="38"/>
  <c r="K1255" i="38"/>
  <c r="J1256" i="38"/>
  <c r="K1256" i="38"/>
  <c r="G1252" i="38"/>
  <c r="G1253" i="38"/>
  <c r="G1254" i="38"/>
  <c r="G1255" i="38"/>
  <c r="G1256" i="38"/>
  <c r="J141" i="38"/>
  <c r="K141" i="38"/>
  <c r="J142" i="38"/>
  <c r="K142" i="38"/>
  <c r="J143" i="38"/>
  <c r="K143" i="38"/>
  <c r="J144" i="38"/>
  <c r="K144" i="38"/>
  <c r="J145" i="38"/>
  <c r="K145" i="38"/>
  <c r="J146" i="38"/>
  <c r="K146" i="38"/>
  <c r="J147" i="38"/>
  <c r="K147" i="38"/>
  <c r="J148" i="38"/>
  <c r="K148" i="38"/>
  <c r="J149" i="38"/>
  <c r="K149" i="38"/>
  <c r="G143" i="38"/>
  <c r="G144" i="38"/>
  <c r="G145" i="38"/>
  <c r="G146" i="38"/>
  <c r="G147" i="38"/>
  <c r="G148" i="38"/>
  <c r="G141" i="38"/>
  <c r="G142" i="38"/>
  <c r="G149" i="38"/>
  <c r="J542" i="38"/>
  <c r="K542" i="38"/>
  <c r="J543" i="38"/>
  <c r="K543" i="38"/>
  <c r="J544" i="38"/>
  <c r="K544" i="38"/>
  <c r="J545" i="38"/>
  <c r="K545" i="38"/>
  <c r="J546" i="38"/>
  <c r="K546" i="38"/>
  <c r="J547" i="38"/>
  <c r="K547" i="38"/>
  <c r="J548" i="38"/>
  <c r="K548" i="38"/>
  <c r="J549" i="38"/>
  <c r="K549" i="38"/>
  <c r="J550" i="38"/>
  <c r="K550" i="38"/>
  <c r="J551" i="38"/>
  <c r="K551" i="38"/>
  <c r="J552" i="38"/>
  <c r="K552" i="38"/>
  <c r="J553" i="38"/>
  <c r="K553" i="38"/>
  <c r="J554" i="38"/>
  <c r="K554" i="38"/>
  <c r="J555" i="38"/>
  <c r="K555" i="38"/>
  <c r="G542" i="38"/>
  <c r="G543" i="38"/>
  <c r="G544" i="38"/>
  <c r="G545" i="38"/>
  <c r="G546" i="38"/>
  <c r="G547" i="38"/>
  <c r="G548" i="38"/>
  <c r="G549" i="38"/>
  <c r="G550" i="38"/>
  <c r="G551" i="38"/>
  <c r="G552" i="38"/>
  <c r="G553" i="38"/>
  <c r="G554" i="38"/>
  <c r="G555" i="38"/>
  <c r="J626" i="38"/>
  <c r="K626" i="38"/>
  <c r="J627" i="38"/>
  <c r="K627" i="38"/>
  <c r="J628" i="38"/>
  <c r="K628" i="38"/>
  <c r="G621" i="38"/>
  <c r="G622" i="38"/>
  <c r="G623" i="38"/>
  <c r="G624" i="38"/>
  <c r="G625" i="38"/>
  <c r="G626" i="38"/>
  <c r="G627" i="38"/>
  <c r="G628" i="38"/>
  <c r="K15" i="42"/>
  <c r="K16" i="42"/>
  <c r="J1240" i="38"/>
  <c r="K1240" i="38"/>
  <c r="J1241" i="38"/>
  <c r="K1241" i="38"/>
  <c r="J1242" i="38"/>
  <c r="K1242" i="38"/>
  <c r="J1243" i="38"/>
  <c r="K1243" i="38"/>
  <c r="J1244" i="38"/>
  <c r="K1244" i="38"/>
  <c r="J1245" i="38"/>
  <c r="K1245" i="38"/>
  <c r="J1246" i="38"/>
  <c r="K1246" i="38"/>
  <c r="J1247" i="38"/>
  <c r="K1247" i="38"/>
  <c r="J1248" i="38"/>
  <c r="K1248" i="38"/>
  <c r="J1249" i="38"/>
  <c r="K1249" i="38"/>
  <c r="J1250" i="38"/>
  <c r="K1250" i="38"/>
  <c r="J1251" i="38"/>
  <c r="K1251" i="38"/>
  <c r="G1240" i="38"/>
  <c r="G1241" i="38"/>
  <c r="G1242" i="38"/>
  <c r="G1243" i="38"/>
  <c r="G1244" i="38"/>
  <c r="G1245" i="38"/>
  <c r="G1246" i="38"/>
  <c r="G1247" i="38"/>
  <c r="G1248" i="38"/>
  <c r="G1249" i="38"/>
  <c r="G1250" i="38"/>
  <c r="G1251" i="38"/>
  <c r="J139" i="38"/>
  <c r="K139" i="38"/>
  <c r="J140" i="38"/>
  <c r="K140" i="38"/>
  <c r="G139" i="38"/>
  <c r="G140" i="38"/>
  <c r="J1229" i="38"/>
  <c r="K1229" i="38"/>
  <c r="J1230" i="38"/>
  <c r="K1230" i="38"/>
  <c r="J1231" i="38"/>
  <c r="K1231" i="38"/>
  <c r="J1232" i="38"/>
  <c r="K1232" i="38"/>
  <c r="J1233" i="38"/>
  <c r="K1233" i="38"/>
  <c r="J1234" i="38"/>
  <c r="K1234" i="38"/>
  <c r="J1235" i="38"/>
  <c r="K1235" i="38"/>
  <c r="J1236" i="38"/>
  <c r="K1236" i="38"/>
  <c r="J1237" i="38"/>
  <c r="K1237" i="38"/>
  <c r="J1238" i="38"/>
  <c r="K1238" i="38"/>
  <c r="J1239" i="38"/>
  <c r="K1239" i="38"/>
  <c r="G1229" i="38"/>
  <c r="G1230" i="38"/>
  <c r="G1231" i="38"/>
  <c r="G1232" i="38"/>
  <c r="G1233" i="38"/>
  <c r="G1234" i="38"/>
  <c r="G1235" i="38"/>
  <c r="G1236" i="38"/>
  <c r="G1237" i="38"/>
  <c r="G1238" i="38"/>
  <c r="G1239" i="38"/>
  <c r="J333" i="38"/>
  <c r="K333" i="38"/>
  <c r="J334" i="38"/>
  <c r="K334" i="38"/>
  <c r="G333" i="38"/>
  <c r="G334" i="38"/>
  <c r="J621" i="38"/>
  <c r="K621" i="38"/>
  <c r="J622" i="38"/>
  <c r="K622" i="38"/>
  <c r="J623" i="38"/>
  <c r="K623" i="38"/>
  <c r="J624" i="38"/>
  <c r="K624" i="38"/>
  <c r="J625" i="38"/>
  <c r="K625" i="38"/>
  <c r="J1221" i="38"/>
  <c r="K1221" i="38"/>
  <c r="J1222" i="38"/>
  <c r="K1222" i="38"/>
  <c r="J1223" i="38"/>
  <c r="K1223" i="38"/>
  <c r="J1224" i="38"/>
  <c r="K1224" i="38"/>
  <c r="J1225" i="38"/>
  <c r="K1225" i="38"/>
  <c r="J1226" i="38"/>
  <c r="K1226" i="38"/>
  <c r="J1227" i="38"/>
  <c r="K1227" i="38"/>
  <c r="J1228" i="38"/>
  <c r="K1228" i="38"/>
  <c r="G1221" i="38"/>
  <c r="G1222" i="38"/>
  <c r="G1223" i="38"/>
  <c r="G1224" i="38"/>
  <c r="G1225" i="38"/>
  <c r="G1226" i="38"/>
  <c r="G1227" i="38"/>
  <c r="G1228" i="38"/>
  <c r="G540" i="38"/>
  <c r="J1216" i="38"/>
  <c r="K1216" i="38"/>
  <c r="J1217" i="38"/>
  <c r="K1217" i="38"/>
  <c r="J1218" i="38"/>
  <c r="K1218" i="38"/>
  <c r="J1219" i="38"/>
  <c r="K1219" i="38"/>
  <c r="J1220" i="38"/>
  <c r="K1220" i="38"/>
  <c r="G1216" i="38"/>
  <c r="G1217" i="38"/>
  <c r="G1218" i="38"/>
  <c r="G1219" i="38"/>
  <c r="G1220" i="38"/>
  <c r="J329" i="38"/>
  <c r="K329" i="38"/>
  <c r="J330" i="38"/>
  <c r="K330" i="38"/>
  <c r="J331" i="38"/>
  <c r="K331" i="38"/>
  <c r="J332" i="38"/>
  <c r="K332" i="38"/>
  <c r="G329" i="38"/>
  <c r="G330" i="38"/>
  <c r="G331" i="38"/>
  <c r="G332" i="38"/>
  <c r="J136" i="38"/>
  <c r="K136" i="38"/>
  <c r="J137" i="38"/>
  <c r="K137" i="38"/>
  <c r="J138" i="38"/>
  <c r="K138" i="38"/>
  <c r="G136" i="38"/>
  <c r="G137" i="38"/>
  <c r="G138" i="38"/>
  <c r="J1208" i="38"/>
  <c r="K1208" i="38"/>
  <c r="J1209" i="38"/>
  <c r="K1209" i="38"/>
  <c r="J1210" i="38"/>
  <c r="K1210" i="38"/>
  <c r="J1211" i="38"/>
  <c r="K1211" i="38"/>
  <c r="J1212" i="38"/>
  <c r="K1212" i="38"/>
  <c r="J1213" i="38"/>
  <c r="K1213" i="38"/>
  <c r="J1214" i="38"/>
  <c r="K1214" i="38"/>
  <c r="J1215" i="38"/>
  <c r="K1215" i="38"/>
  <c r="G1208" i="38"/>
  <c r="G1209" i="38"/>
  <c r="G1210" i="38"/>
  <c r="G1211" i="38"/>
  <c r="G1212" i="38"/>
  <c r="G1213" i="38"/>
  <c r="G1214" i="38"/>
  <c r="G1215" i="38"/>
  <c r="J539" i="38"/>
  <c r="K539" i="38"/>
  <c r="J540" i="38"/>
  <c r="K540" i="38"/>
  <c r="J541" i="38"/>
  <c r="K541" i="38"/>
  <c r="G539" i="38"/>
  <c r="G541" i="38"/>
  <c r="J1418" i="38"/>
  <c r="J1419" i="38"/>
  <c r="K1419" i="38"/>
  <c r="J1420" i="38"/>
  <c r="K1420" i="38"/>
  <c r="J1421" i="38"/>
  <c r="K1421" i="38"/>
  <c r="F1418" i="38"/>
  <c r="K1418" i="38" s="1"/>
  <c r="G1419" i="38"/>
  <c r="G1420" i="38"/>
  <c r="G1421" i="38"/>
  <c r="J537" i="38"/>
  <c r="K537" i="38"/>
  <c r="G537" i="38"/>
  <c r="J328" i="38"/>
  <c r="K328" i="38"/>
  <c r="G328" i="38"/>
  <c r="J134" i="38"/>
  <c r="K134" i="38"/>
  <c r="J135" i="38"/>
  <c r="K135" i="38"/>
  <c r="G134" i="38"/>
  <c r="G135" i="38"/>
  <c r="J534" i="38"/>
  <c r="K534" i="38"/>
  <c r="J535" i="38"/>
  <c r="K535" i="38"/>
  <c r="J536" i="38"/>
  <c r="K536" i="38"/>
  <c r="J538" i="38"/>
  <c r="K538" i="38"/>
  <c r="G534" i="38"/>
  <c r="G535" i="38"/>
  <c r="G536" i="38"/>
  <c r="G538" i="38"/>
  <c r="J1199" i="38"/>
  <c r="K1199" i="38"/>
  <c r="J1200" i="38"/>
  <c r="K1200" i="38"/>
  <c r="J1201" i="38"/>
  <c r="K1201" i="38"/>
  <c r="J1202" i="38"/>
  <c r="K1202" i="38"/>
  <c r="J1203" i="38"/>
  <c r="K1203" i="38"/>
  <c r="J1204" i="38"/>
  <c r="K1204" i="38"/>
  <c r="J1205" i="38"/>
  <c r="K1205" i="38"/>
  <c r="J1206" i="38"/>
  <c r="K1206" i="38"/>
  <c r="J1207" i="38"/>
  <c r="K1207" i="38"/>
  <c r="G1199" i="38"/>
  <c r="G1200" i="38"/>
  <c r="G1201" i="38"/>
  <c r="G1202" i="38"/>
  <c r="G1203" i="38"/>
  <c r="G1204" i="38"/>
  <c r="G1205" i="38"/>
  <c r="G1206" i="38"/>
  <c r="G1207" i="38"/>
  <c r="J527" i="38"/>
  <c r="K527" i="38"/>
  <c r="J528" i="38"/>
  <c r="K528" i="38"/>
  <c r="J529" i="38"/>
  <c r="K529" i="38"/>
  <c r="J530" i="38"/>
  <c r="K530" i="38"/>
  <c r="J531" i="38"/>
  <c r="K531" i="38"/>
  <c r="J532" i="38"/>
  <c r="K532" i="38"/>
  <c r="J533" i="38"/>
  <c r="K533" i="38"/>
  <c r="G527" i="38"/>
  <c r="G528" i="38"/>
  <c r="G529" i="38"/>
  <c r="G530" i="38"/>
  <c r="G531" i="38"/>
  <c r="G532" i="38"/>
  <c r="G533" i="38"/>
  <c r="G574" i="38"/>
  <c r="J1192" i="38"/>
  <c r="K1192" i="38"/>
  <c r="J1193" i="38"/>
  <c r="K1193" i="38"/>
  <c r="J1194" i="38"/>
  <c r="K1194" i="38"/>
  <c r="J1195" i="38"/>
  <c r="K1195" i="38"/>
  <c r="J1196" i="38"/>
  <c r="K1196" i="38"/>
  <c r="J1197" i="38"/>
  <c r="K1197" i="38"/>
  <c r="J1198" i="38"/>
  <c r="K1198" i="38"/>
  <c r="G1192" i="38"/>
  <c r="G1193" i="38"/>
  <c r="G1194" i="38"/>
  <c r="G1195" i="38"/>
  <c r="G1196" i="38"/>
  <c r="G1197" i="38"/>
  <c r="G1198" i="38"/>
  <c r="J1416" i="38"/>
  <c r="K1416" i="38"/>
  <c r="J1417" i="38"/>
  <c r="K1417" i="38"/>
  <c r="G1416" i="38"/>
  <c r="G1417" i="38"/>
  <c r="J1414" i="38"/>
  <c r="K1414" i="38"/>
  <c r="J1415" i="38"/>
  <c r="K1415" i="38"/>
  <c r="G1414" i="38"/>
  <c r="G1415" i="38"/>
  <c r="J524" i="38"/>
  <c r="K524" i="38"/>
  <c r="G524" i="38"/>
  <c r="J522" i="38"/>
  <c r="K522" i="38"/>
  <c r="J526" i="38"/>
  <c r="K526" i="38"/>
  <c r="J523" i="38"/>
  <c r="K523" i="38"/>
  <c r="J525" i="38"/>
  <c r="K525" i="38"/>
  <c r="G522" i="38"/>
  <c r="G526" i="38"/>
  <c r="G523" i="38"/>
  <c r="G525" i="38"/>
  <c r="J1190" i="38"/>
  <c r="K1190" i="38"/>
  <c r="J1191" i="38"/>
  <c r="K1191" i="38"/>
  <c r="G1190" i="38"/>
  <c r="G1191" i="38"/>
  <c r="R16" i="45"/>
  <c r="R17" i="45"/>
  <c r="R36" i="45"/>
  <c r="R37" i="45"/>
  <c r="R38" i="45"/>
  <c r="R39" i="45"/>
  <c r="J520" i="38"/>
  <c r="K520" i="38"/>
  <c r="J521" i="38"/>
  <c r="K521" i="38"/>
  <c r="G520" i="38"/>
  <c r="G521" i="38"/>
  <c r="J1186" i="38"/>
  <c r="K1186" i="38"/>
  <c r="J1187" i="38"/>
  <c r="K1187" i="38"/>
  <c r="J1188" i="38"/>
  <c r="K1188" i="38"/>
  <c r="J1189" i="38"/>
  <c r="K1189" i="38"/>
  <c r="G1186" i="38"/>
  <c r="G1187" i="38"/>
  <c r="G1188" i="38"/>
  <c r="G1189" i="38"/>
  <c r="J518" i="38"/>
  <c r="K518" i="38"/>
  <c r="J519" i="38"/>
  <c r="K519" i="38"/>
  <c r="G518" i="38"/>
  <c r="G519" i="38"/>
  <c r="J1178" i="38"/>
  <c r="K1178" i="38"/>
  <c r="J1179" i="38"/>
  <c r="K1179" i="38"/>
  <c r="J1180" i="38"/>
  <c r="K1180" i="38"/>
  <c r="J1181" i="38"/>
  <c r="K1181" i="38"/>
  <c r="J1182" i="38"/>
  <c r="K1182" i="38"/>
  <c r="J1183" i="38"/>
  <c r="K1183" i="38"/>
  <c r="J1184" i="38"/>
  <c r="K1184" i="38"/>
  <c r="J1185" i="38"/>
  <c r="K1185" i="38"/>
  <c r="G1178" i="38"/>
  <c r="G1179" i="38"/>
  <c r="G1180" i="38"/>
  <c r="G1181" i="38"/>
  <c r="G1182" i="38"/>
  <c r="G1183" i="38"/>
  <c r="G1184" i="38"/>
  <c r="G1185" i="38"/>
  <c r="J492" i="38"/>
  <c r="K492" i="38"/>
  <c r="J493" i="38"/>
  <c r="K493" i="38"/>
  <c r="J494" i="38"/>
  <c r="K494" i="38"/>
  <c r="J495" i="38"/>
  <c r="K495" i="38"/>
  <c r="J496" i="38"/>
  <c r="K496" i="38"/>
  <c r="J497" i="38"/>
  <c r="K497" i="38"/>
  <c r="J498" i="38"/>
  <c r="K498" i="38"/>
  <c r="J499" i="38"/>
  <c r="K499" i="38"/>
  <c r="J500" i="38"/>
  <c r="K500" i="38"/>
  <c r="J501" i="38"/>
  <c r="K501" i="38"/>
  <c r="J502" i="38"/>
  <c r="K502" i="38"/>
  <c r="G492" i="38"/>
  <c r="G493" i="38"/>
  <c r="G494" i="38"/>
  <c r="G495" i="38"/>
  <c r="G496" i="38"/>
  <c r="G497" i="38"/>
  <c r="G498" i="38"/>
  <c r="G499" i="38"/>
  <c r="G500" i="38"/>
  <c r="G501" i="38"/>
  <c r="G502" i="38"/>
  <c r="J1129" i="38"/>
  <c r="K1129" i="38"/>
  <c r="J1130" i="38"/>
  <c r="K1130" i="38"/>
  <c r="J1131" i="38"/>
  <c r="K1131" i="38"/>
  <c r="J1132" i="38"/>
  <c r="K1132" i="38"/>
  <c r="G1132" i="38"/>
  <c r="G1130" i="38"/>
  <c r="G1131" i="38"/>
  <c r="J1128" i="38"/>
  <c r="K1128" i="38"/>
  <c r="G1129" i="38"/>
  <c r="J327" i="38"/>
  <c r="K327" i="38"/>
  <c r="G327" i="38"/>
  <c r="J133" i="38"/>
  <c r="K133" i="38"/>
  <c r="G133" i="38"/>
  <c r="J516" i="38"/>
  <c r="K516" i="38"/>
  <c r="J517" i="38"/>
  <c r="K517" i="38"/>
  <c r="G516" i="38"/>
  <c r="G517" i="38"/>
  <c r="J1170" i="38"/>
  <c r="K1170" i="38"/>
  <c r="J1171" i="38"/>
  <c r="K1171" i="38"/>
  <c r="G1170" i="38"/>
  <c r="G1171" i="38"/>
  <c r="K20" i="42"/>
  <c r="Q28" i="42"/>
  <c r="Q27" i="42"/>
  <c r="J1163" i="38"/>
  <c r="K1163" i="38"/>
  <c r="J1164" i="38"/>
  <c r="K1164" i="38"/>
  <c r="J1165" i="38"/>
  <c r="K1165" i="38"/>
  <c r="J1166" i="38"/>
  <c r="K1166" i="38"/>
  <c r="J1167" i="38"/>
  <c r="K1167" i="38"/>
  <c r="J1168" i="38"/>
  <c r="K1168" i="38"/>
  <c r="J1169" i="38"/>
  <c r="K1169" i="38"/>
  <c r="J1172" i="38"/>
  <c r="K1172" i="38"/>
  <c r="J1173" i="38"/>
  <c r="K1173" i="38"/>
  <c r="J1174" i="38"/>
  <c r="K1174" i="38"/>
  <c r="J1175" i="38"/>
  <c r="K1175" i="38"/>
  <c r="J1176" i="38"/>
  <c r="K1176" i="38"/>
  <c r="J1177" i="38"/>
  <c r="K1177" i="38"/>
  <c r="G1163" i="38"/>
  <c r="G1164" i="38"/>
  <c r="G1165" i="38"/>
  <c r="G1166" i="38"/>
  <c r="G1167" i="38"/>
  <c r="G1168" i="38"/>
  <c r="G1169" i="38"/>
  <c r="G1172" i="38"/>
  <c r="G1173" i="38"/>
  <c r="G1174" i="38"/>
  <c r="G1175" i="38"/>
  <c r="G1176" i="38"/>
  <c r="G1177" i="38"/>
  <c r="J1406" i="38"/>
  <c r="K1406" i="38"/>
  <c r="J1407" i="38"/>
  <c r="K1407" i="38"/>
  <c r="J1408" i="38"/>
  <c r="K1408" i="38"/>
  <c r="J1409" i="38"/>
  <c r="K1409" i="38"/>
  <c r="J1410" i="38"/>
  <c r="K1410" i="38"/>
  <c r="J1411" i="38"/>
  <c r="K1411" i="38"/>
  <c r="J1412" i="38"/>
  <c r="K1412" i="38"/>
  <c r="J1413" i="38"/>
  <c r="K1413" i="38"/>
  <c r="G1412" i="38"/>
  <c r="G1406" i="38"/>
  <c r="G1407" i="38"/>
  <c r="G1408" i="38"/>
  <c r="G1409" i="38"/>
  <c r="G1410" i="38"/>
  <c r="G1411" i="38"/>
  <c r="G1413" i="38"/>
  <c r="J1161" i="38"/>
  <c r="K1161" i="38"/>
  <c r="J1158" i="38"/>
  <c r="K1158" i="38"/>
  <c r="J1159" i="38"/>
  <c r="K1159" i="38"/>
  <c r="J1160" i="38"/>
  <c r="K1160" i="38"/>
  <c r="J1162" i="38"/>
  <c r="K1162" i="38"/>
  <c r="G1161" i="38"/>
  <c r="G1158" i="38"/>
  <c r="G1159" i="38"/>
  <c r="G1160" i="38"/>
  <c r="G1162" i="38"/>
  <c r="J514" i="38"/>
  <c r="K514" i="38"/>
  <c r="J515" i="38"/>
  <c r="K515" i="38"/>
  <c r="G514" i="38"/>
  <c r="G515" i="38"/>
  <c r="J1143" i="38"/>
  <c r="K1143" i="38"/>
  <c r="J1144" i="38"/>
  <c r="K1144" i="38"/>
  <c r="J1145" i="38"/>
  <c r="K1145" i="38"/>
  <c r="J1146" i="38"/>
  <c r="K1146" i="38"/>
  <c r="J1147" i="38"/>
  <c r="K1147" i="38"/>
  <c r="J1148" i="38"/>
  <c r="K1148" i="38"/>
  <c r="J1149" i="38"/>
  <c r="K1149" i="38"/>
  <c r="J1150" i="38"/>
  <c r="K1150" i="38"/>
  <c r="J1151" i="38"/>
  <c r="K1151" i="38"/>
  <c r="J1152" i="38"/>
  <c r="K1152" i="38"/>
  <c r="J1153" i="38"/>
  <c r="K1153" i="38"/>
  <c r="J1154" i="38"/>
  <c r="K1154" i="38"/>
  <c r="J1155" i="38"/>
  <c r="K1155" i="38"/>
  <c r="J1156" i="38"/>
  <c r="K1156" i="38"/>
  <c r="J1157" i="38"/>
  <c r="K1157" i="38"/>
  <c r="G1143" i="38"/>
  <c r="G1144" i="38"/>
  <c r="G1145" i="38"/>
  <c r="G1146" i="38"/>
  <c r="G1147" i="38"/>
  <c r="G1148" i="38"/>
  <c r="G1149" i="38"/>
  <c r="G1150" i="38"/>
  <c r="G1151" i="38"/>
  <c r="G1152" i="38"/>
  <c r="G1153" i="38"/>
  <c r="G1154" i="38"/>
  <c r="G1155" i="38"/>
  <c r="G1156" i="38"/>
  <c r="G1157" i="38"/>
  <c r="J512" i="38"/>
  <c r="K512" i="38"/>
  <c r="J513" i="38"/>
  <c r="K513" i="38"/>
  <c r="G512" i="38"/>
  <c r="G513" i="38"/>
  <c r="J1141" i="38"/>
  <c r="K1141" i="38"/>
  <c r="J1142" i="38"/>
  <c r="K1142" i="38"/>
  <c r="G1141" i="38"/>
  <c r="G1142" i="38"/>
  <c r="J1133" i="38"/>
  <c r="K1133" i="38"/>
  <c r="J1134" i="38"/>
  <c r="K1134" i="38"/>
  <c r="J1135" i="38"/>
  <c r="K1135" i="38"/>
  <c r="J1136" i="38"/>
  <c r="K1136" i="38"/>
  <c r="J1137" i="38"/>
  <c r="K1137" i="38"/>
  <c r="J1138" i="38"/>
  <c r="K1138" i="38"/>
  <c r="J1139" i="38"/>
  <c r="K1139" i="38"/>
  <c r="J1140" i="38"/>
  <c r="K1140" i="38"/>
  <c r="G1128" i="38"/>
  <c r="G1133" i="38"/>
  <c r="G1134" i="38"/>
  <c r="G1135" i="38"/>
  <c r="G1136" i="38"/>
  <c r="G1137" i="38"/>
  <c r="G1138" i="38"/>
  <c r="G1139" i="38"/>
  <c r="G1140" i="38"/>
  <c r="J509" i="38"/>
  <c r="K509" i="38"/>
  <c r="J510" i="38"/>
  <c r="K510" i="38"/>
  <c r="J511" i="38"/>
  <c r="K511" i="38"/>
  <c r="G509" i="38"/>
  <c r="G510" i="38"/>
  <c r="G511" i="38"/>
  <c r="J118" i="38"/>
  <c r="K118" i="38"/>
  <c r="J119" i="38"/>
  <c r="K119" i="38"/>
  <c r="J120" i="38"/>
  <c r="K120" i="38"/>
  <c r="J121" i="38"/>
  <c r="K121" i="38"/>
  <c r="J122" i="38"/>
  <c r="K122" i="38"/>
  <c r="J123" i="38"/>
  <c r="K123" i="38"/>
  <c r="J124" i="38"/>
  <c r="K124" i="38"/>
  <c r="J125" i="38"/>
  <c r="K125" i="38"/>
  <c r="J126" i="38"/>
  <c r="K126" i="38"/>
  <c r="J127" i="38"/>
  <c r="K127" i="38"/>
  <c r="J128" i="38"/>
  <c r="K128" i="38"/>
  <c r="J129" i="38"/>
  <c r="K129" i="38"/>
  <c r="J130" i="38"/>
  <c r="K130" i="38"/>
  <c r="J131" i="38"/>
  <c r="K131" i="38"/>
  <c r="J132" i="38"/>
  <c r="K132" i="38"/>
  <c r="A60" i="38"/>
  <c r="A198" i="38"/>
  <c r="A247" i="38"/>
  <c r="A248" i="38"/>
  <c r="A249" i="38"/>
  <c r="A250" i="38"/>
  <c r="A251" i="38"/>
  <c r="A252" i="38"/>
  <c r="A253" i="38"/>
  <c r="A254" i="38"/>
  <c r="A255" i="38"/>
  <c r="A256" i="38"/>
  <c r="A257" i="38"/>
  <c r="A258" i="38"/>
  <c r="A259" i="38"/>
  <c r="A260" i="38"/>
  <c r="A261" i="38"/>
  <c r="A262" i="38"/>
  <c r="A263" i="38"/>
  <c r="A264" i="38"/>
  <c r="A265" i="38"/>
  <c r="A266" i="38"/>
  <c r="A267" i="38"/>
  <c r="A268" i="38"/>
  <c r="A269" i="38"/>
  <c r="A270" i="38"/>
  <c r="A271" i="38"/>
  <c r="A272" i="38"/>
  <c r="A273" i="38"/>
  <c r="A274" i="38"/>
  <c r="A275" i="38"/>
  <c r="A276" i="38"/>
  <c r="A277" i="38"/>
  <c r="A278" i="38"/>
  <c r="A279" i="38"/>
  <c r="A280" i="38"/>
  <c r="A281" i="38"/>
  <c r="A282" i="38"/>
  <c r="A283" i="38"/>
  <c r="A284" i="38"/>
  <c r="A285" i="38"/>
  <c r="A286" i="38"/>
  <c r="A287" i="38"/>
  <c r="A288" i="38"/>
  <c r="A289" i="38"/>
  <c r="A290" i="38"/>
  <c r="A291" i="38"/>
  <c r="A292" i="38"/>
  <c r="A293" i="38"/>
  <c r="A294" i="38"/>
  <c r="A295" i="38"/>
  <c r="A296" i="38"/>
  <c r="A297" i="38"/>
  <c r="A298" i="38"/>
  <c r="A299" i="38"/>
  <c r="A300" i="38"/>
  <c r="A301" i="38"/>
  <c r="A302" i="38"/>
  <c r="G118" i="38"/>
  <c r="G119" i="38"/>
  <c r="G120" i="38"/>
  <c r="G121" i="38"/>
  <c r="G122" i="38"/>
  <c r="G123" i="38"/>
  <c r="G124" i="38"/>
  <c r="G125" i="38"/>
  <c r="G126" i="38"/>
  <c r="G127" i="38"/>
  <c r="G128" i="38"/>
  <c r="G129" i="38"/>
  <c r="G130" i="38"/>
  <c r="G131" i="38"/>
  <c r="G132" i="38"/>
  <c r="J507" i="38"/>
  <c r="K507" i="38"/>
  <c r="J508" i="38"/>
  <c r="K508" i="38"/>
  <c r="G507" i="38"/>
  <c r="G508" i="38"/>
  <c r="J1127" i="38"/>
  <c r="K1127" i="38"/>
  <c r="G1127" i="38"/>
  <c r="J505" i="38"/>
  <c r="K505" i="38"/>
  <c r="J506" i="38"/>
  <c r="K506" i="38"/>
  <c r="G505" i="38"/>
  <c r="G506" i="38"/>
  <c r="J1124" i="38"/>
  <c r="K1124" i="38"/>
  <c r="J1125" i="38"/>
  <c r="K1125" i="38"/>
  <c r="J1126" i="38"/>
  <c r="K1126" i="38"/>
  <c r="G1124" i="38"/>
  <c r="G1125" i="38"/>
  <c r="G1126" i="38"/>
  <c r="J321" i="38"/>
  <c r="K321" i="38"/>
  <c r="J322" i="38"/>
  <c r="K322" i="38"/>
  <c r="J323" i="38"/>
  <c r="K323" i="38"/>
  <c r="J324" i="38"/>
  <c r="K324" i="38"/>
  <c r="J325" i="38"/>
  <c r="K325" i="38"/>
  <c r="J326" i="38"/>
  <c r="K326" i="38"/>
  <c r="G321" i="38"/>
  <c r="G322" i="38"/>
  <c r="G323" i="38"/>
  <c r="G324" i="38"/>
  <c r="G325" i="38"/>
  <c r="G326" i="38"/>
  <c r="I31" i="45" l="1"/>
  <c r="I30" i="45"/>
  <c r="I33" i="45"/>
  <c r="I29" i="45"/>
  <c r="I27" i="45"/>
  <c r="I25" i="45"/>
  <c r="I32" i="45"/>
  <c r="I28" i="45"/>
  <c r="H34" i="45"/>
  <c r="H62" i="45" s="1"/>
  <c r="E34" i="45"/>
  <c r="E62" i="45" s="1"/>
  <c r="I34" i="45"/>
  <c r="I62" i="45" s="1"/>
  <c r="C34" i="45"/>
  <c r="F34" i="45"/>
  <c r="F62" i="45" s="1"/>
  <c r="I23" i="45"/>
  <c r="G34" i="45"/>
  <c r="G62" i="45" s="1"/>
  <c r="I24" i="45"/>
  <c r="E40" i="45"/>
  <c r="I40" i="45"/>
  <c r="I35" i="45" s="1"/>
  <c r="C40" i="45"/>
  <c r="H40" i="45"/>
  <c r="D40" i="45"/>
  <c r="G40" i="45"/>
  <c r="F40" i="45"/>
  <c r="H19" i="45"/>
  <c r="F17" i="45"/>
  <c r="H25" i="45"/>
  <c r="H21" i="45"/>
  <c r="G17" i="45"/>
  <c r="I22" i="45"/>
  <c r="I21" i="45"/>
  <c r="D17" i="45"/>
  <c r="I17" i="45"/>
  <c r="G19" i="45"/>
  <c r="E17" i="45"/>
  <c r="H17" i="45"/>
  <c r="G21" i="45"/>
  <c r="G1418" i="38"/>
  <c r="H22" i="45"/>
  <c r="H23" i="45"/>
  <c r="H39" i="45"/>
  <c r="H29" i="45"/>
  <c r="H36" i="45"/>
  <c r="H27" i="45"/>
  <c r="H31" i="45"/>
  <c r="H37" i="45"/>
  <c r="H28" i="45"/>
  <c r="H32" i="45"/>
  <c r="H38" i="45"/>
  <c r="H20" i="45"/>
  <c r="H24" i="45"/>
  <c r="H30" i="45"/>
  <c r="H33" i="45"/>
  <c r="G27" i="45"/>
  <c r="F27" i="45"/>
  <c r="J503" i="38"/>
  <c r="K503" i="38"/>
  <c r="J504" i="38"/>
  <c r="K504" i="38"/>
  <c r="G503" i="38"/>
  <c r="G504" i="38"/>
  <c r="J1120" i="38"/>
  <c r="K1120" i="38"/>
  <c r="J1121" i="38"/>
  <c r="K1121" i="38"/>
  <c r="J1122" i="38"/>
  <c r="K1122" i="38"/>
  <c r="J1123" i="38"/>
  <c r="K1123" i="38"/>
  <c r="G1120" i="38"/>
  <c r="G1121" i="38"/>
  <c r="G1122" i="38"/>
  <c r="G1123" i="38"/>
  <c r="G490" i="38"/>
  <c r="J490" i="38"/>
  <c r="K490" i="38"/>
  <c r="G491" i="38"/>
  <c r="J491" i="38"/>
  <c r="K491" i="38"/>
  <c r="J1108" i="38"/>
  <c r="K1108" i="38"/>
  <c r="J1109" i="38"/>
  <c r="K1109" i="38"/>
  <c r="J1110" i="38"/>
  <c r="K1110" i="38"/>
  <c r="J1111" i="38"/>
  <c r="K1111" i="38"/>
  <c r="J1112" i="38"/>
  <c r="K1112" i="38"/>
  <c r="J1113" i="38"/>
  <c r="K1113" i="38"/>
  <c r="J1114" i="38"/>
  <c r="K1114" i="38"/>
  <c r="J1115" i="38"/>
  <c r="K1115" i="38"/>
  <c r="J1116" i="38"/>
  <c r="K1116" i="38"/>
  <c r="J1117" i="38"/>
  <c r="K1117" i="38"/>
  <c r="J1118" i="38"/>
  <c r="K1118" i="38"/>
  <c r="J1119" i="38"/>
  <c r="K1119" i="38"/>
  <c r="G1108" i="38"/>
  <c r="G1109" i="38"/>
  <c r="G1110" i="38"/>
  <c r="G1111" i="38"/>
  <c r="G1112" i="38"/>
  <c r="G1113" i="38"/>
  <c r="G1114" i="38"/>
  <c r="G1115" i="38"/>
  <c r="G1116" i="38"/>
  <c r="G1117" i="38"/>
  <c r="G1118" i="38"/>
  <c r="G1119" i="38"/>
  <c r="J488" i="38"/>
  <c r="K488" i="38"/>
  <c r="J489" i="38"/>
  <c r="K489" i="38"/>
  <c r="G488" i="38"/>
  <c r="G489" i="38"/>
  <c r="C62" i="45" l="1"/>
  <c r="O62" i="45" s="1"/>
  <c r="O34" i="45"/>
  <c r="Q34" i="45" s="1"/>
  <c r="I16" i="45"/>
  <c r="I41" i="45" s="1"/>
  <c r="H16" i="45"/>
  <c r="O40" i="45"/>
  <c r="Q40" i="45" s="1"/>
  <c r="H35" i="45"/>
  <c r="J616" i="38"/>
  <c r="K616" i="38"/>
  <c r="J617" i="38"/>
  <c r="K617" i="38"/>
  <c r="J618" i="38"/>
  <c r="K618" i="38"/>
  <c r="J619" i="38"/>
  <c r="K619" i="38"/>
  <c r="J620" i="38"/>
  <c r="K620" i="38"/>
  <c r="G616" i="38"/>
  <c r="G617" i="38"/>
  <c r="G618" i="38"/>
  <c r="G619" i="38"/>
  <c r="G620" i="38"/>
  <c r="J1104" i="38"/>
  <c r="K1104" i="38"/>
  <c r="J1105" i="38"/>
  <c r="K1105" i="38"/>
  <c r="J1106" i="38"/>
  <c r="K1106" i="38"/>
  <c r="J1107" i="38"/>
  <c r="K1107" i="38"/>
  <c r="G1104" i="38"/>
  <c r="G1105" i="38"/>
  <c r="G1106" i="38"/>
  <c r="G1107" i="38"/>
  <c r="J486" i="38"/>
  <c r="K486" i="38"/>
  <c r="J487" i="38"/>
  <c r="K487" i="38"/>
  <c r="G486" i="38"/>
  <c r="G487" i="38"/>
  <c r="J1098" i="38"/>
  <c r="K1098" i="38"/>
  <c r="J1099" i="38"/>
  <c r="K1099" i="38"/>
  <c r="J1100" i="38"/>
  <c r="K1100" i="38"/>
  <c r="J1101" i="38"/>
  <c r="K1101" i="38"/>
  <c r="J1102" i="38"/>
  <c r="K1102" i="38"/>
  <c r="J1103" i="38"/>
  <c r="K1103" i="38"/>
  <c r="G1098" i="38"/>
  <c r="G1099" i="38"/>
  <c r="G1100" i="38"/>
  <c r="G1101" i="38"/>
  <c r="G1102" i="38"/>
  <c r="G1103" i="38"/>
  <c r="H485" i="38"/>
  <c r="J484" i="38"/>
  <c r="K484" i="38"/>
  <c r="J485" i="38"/>
  <c r="K485" i="38"/>
  <c r="G484" i="38"/>
  <c r="G485" i="38"/>
  <c r="J1091" i="38"/>
  <c r="K1091" i="38"/>
  <c r="J1092" i="38"/>
  <c r="K1092" i="38"/>
  <c r="J1093" i="38"/>
  <c r="K1093" i="38"/>
  <c r="J1094" i="38"/>
  <c r="K1094" i="38"/>
  <c r="J1095" i="38"/>
  <c r="K1095" i="38"/>
  <c r="J1096" i="38"/>
  <c r="K1096" i="38"/>
  <c r="J1097" i="38"/>
  <c r="K1097" i="38"/>
  <c r="G1091" i="38"/>
  <c r="G1092" i="38"/>
  <c r="G1093" i="38"/>
  <c r="G1094" i="38"/>
  <c r="G1095" i="38"/>
  <c r="G1096" i="38"/>
  <c r="G1097" i="38"/>
  <c r="F2" i="38"/>
  <c r="J1086" i="38"/>
  <c r="K1086" i="38"/>
  <c r="J1087" i="38"/>
  <c r="K1087" i="38"/>
  <c r="G1086" i="38"/>
  <c r="G1087" i="38"/>
  <c r="J1085" i="38"/>
  <c r="K1085" i="38"/>
  <c r="J1088" i="38"/>
  <c r="K1088" i="38"/>
  <c r="J1089" i="38"/>
  <c r="K1089" i="38"/>
  <c r="J1090" i="38"/>
  <c r="K1090" i="38"/>
  <c r="G1085" i="38"/>
  <c r="G1088" i="38"/>
  <c r="G1089" i="38"/>
  <c r="G1090" i="38"/>
  <c r="J115" i="38"/>
  <c r="K115" i="38"/>
  <c r="J116" i="38"/>
  <c r="K116" i="38"/>
  <c r="J117" i="38"/>
  <c r="K117" i="38"/>
  <c r="G115" i="38"/>
  <c r="G116" i="38"/>
  <c r="G117" i="38"/>
  <c r="J1078" i="38"/>
  <c r="K1078" i="38"/>
  <c r="J1079" i="38"/>
  <c r="K1079" i="38"/>
  <c r="J1080" i="38"/>
  <c r="K1080" i="38"/>
  <c r="J1077" i="38"/>
  <c r="K1077" i="38"/>
  <c r="J1081" i="38"/>
  <c r="K1081" i="38"/>
  <c r="J1082" i="38"/>
  <c r="K1082" i="38"/>
  <c r="J1083" i="38"/>
  <c r="K1083" i="38"/>
  <c r="J1084" i="38"/>
  <c r="K1084" i="38"/>
  <c r="G1078" i="38"/>
  <c r="G1079" i="38"/>
  <c r="G1080" i="38"/>
  <c r="G1077" i="38"/>
  <c r="G1081" i="38"/>
  <c r="G1082" i="38"/>
  <c r="G1083" i="38"/>
  <c r="G1084" i="38"/>
  <c r="J1072" i="38"/>
  <c r="K1072" i="38"/>
  <c r="J1073" i="38"/>
  <c r="K1073" i="38"/>
  <c r="G1072" i="38"/>
  <c r="G1073" i="38"/>
  <c r="J1071" i="38"/>
  <c r="K1071" i="38"/>
  <c r="J1074" i="38"/>
  <c r="K1074" i="38"/>
  <c r="J1075" i="38"/>
  <c r="K1075" i="38"/>
  <c r="J1076" i="38"/>
  <c r="K1076" i="38"/>
  <c r="G1071" i="38"/>
  <c r="G1074" i="38"/>
  <c r="G1075" i="38"/>
  <c r="G1076" i="38"/>
  <c r="J114" i="38"/>
  <c r="K114" i="38"/>
  <c r="G114" i="38"/>
  <c r="J1064" i="38"/>
  <c r="K1064" i="38"/>
  <c r="J1065" i="38"/>
  <c r="K1065" i="38"/>
  <c r="J1066" i="38"/>
  <c r="K1066" i="38"/>
  <c r="J1067" i="38"/>
  <c r="K1067" i="38"/>
  <c r="J1068" i="38"/>
  <c r="K1068" i="38"/>
  <c r="J1069" i="38"/>
  <c r="K1069" i="38"/>
  <c r="J1070" i="38"/>
  <c r="K1070" i="38"/>
  <c r="G1064" i="38"/>
  <c r="G1065" i="38"/>
  <c r="G1066" i="38"/>
  <c r="G1067" i="38"/>
  <c r="G1068" i="38"/>
  <c r="G1069" i="38"/>
  <c r="G1070" i="38"/>
  <c r="J105" i="38"/>
  <c r="K105" i="38"/>
  <c r="J106" i="38"/>
  <c r="K106" i="38"/>
  <c r="J107" i="38"/>
  <c r="K107" i="38"/>
  <c r="J108" i="38"/>
  <c r="K108" i="38"/>
  <c r="J109" i="38"/>
  <c r="K109" i="38"/>
  <c r="J110" i="38"/>
  <c r="K110" i="38"/>
  <c r="J111" i="38"/>
  <c r="K111" i="38"/>
  <c r="J112" i="38"/>
  <c r="K112" i="38"/>
  <c r="J113" i="38"/>
  <c r="K113" i="38"/>
  <c r="G109" i="38"/>
  <c r="G110" i="38"/>
  <c r="G111" i="38"/>
  <c r="G112" i="38"/>
  <c r="G105" i="38"/>
  <c r="G106" i="38"/>
  <c r="G107" i="38"/>
  <c r="G108" i="38"/>
  <c r="G113" i="38"/>
  <c r="J318" i="38"/>
  <c r="K318" i="38"/>
  <c r="J319" i="38"/>
  <c r="K319" i="38"/>
  <c r="J320" i="38"/>
  <c r="K320" i="38"/>
  <c r="G318" i="38"/>
  <c r="G319" i="38"/>
  <c r="G320" i="38"/>
  <c r="J1056" i="38" l="1"/>
  <c r="K1056" i="38"/>
  <c r="J1057" i="38"/>
  <c r="K1057" i="38"/>
  <c r="J1058" i="38"/>
  <c r="K1058" i="38"/>
  <c r="J1059" i="38"/>
  <c r="K1059" i="38"/>
  <c r="J1060" i="38"/>
  <c r="K1060" i="38"/>
  <c r="J1061" i="38"/>
  <c r="K1061" i="38"/>
  <c r="J1062" i="38"/>
  <c r="K1062" i="38"/>
  <c r="J1063" i="38"/>
  <c r="K1063" i="38"/>
  <c r="G1056" i="38"/>
  <c r="G1057" i="38"/>
  <c r="G1058" i="38"/>
  <c r="G1059" i="38"/>
  <c r="G1060" i="38"/>
  <c r="G1061" i="38"/>
  <c r="G1062" i="38"/>
  <c r="G1063" i="38"/>
  <c r="J1045" i="38"/>
  <c r="K1045" i="38"/>
  <c r="J1041" i="38"/>
  <c r="K1041" i="38"/>
  <c r="J1047" i="38"/>
  <c r="K1047" i="38"/>
  <c r="J1048" i="38"/>
  <c r="K1048" i="38"/>
  <c r="J1049" i="38"/>
  <c r="K1049" i="38"/>
  <c r="G1049" i="38"/>
  <c r="G1045" i="38"/>
  <c r="G1041" i="38"/>
  <c r="G1047" i="38"/>
  <c r="G1048" i="38"/>
  <c r="J1043" i="38" l="1"/>
  <c r="K1043" i="38"/>
  <c r="J1044" i="38"/>
  <c r="K1044" i="38"/>
  <c r="J1046" i="38"/>
  <c r="K1046" i="38"/>
  <c r="J1050" i="38"/>
  <c r="K1050" i="38"/>
  <c r="J1051" i="38"/>
  <c r="K1051" i="38"/>
  <c r="J1052" i="38"/>
  <c r="K1052" i="38"/>
  <c r="J1053" i="38"/>
  <c r="K1053" i="38"/>
  <c r="J1054" i="38"/>
  <c r="K1054" i="38"/>
  <c r="J1055" i="38"/>
  <c r="K1055" i="38"/>
  <c r="G1043" i="38"/>
  <c r="G1044" i="38"/>
  <c r="G1046" i="38"/>
  <c r="G1050" i="38"/>
  <c r="G1051" i="38"/>
  <c r="G1052" i="38"/>
  <c r="G1053" i="38"/>
  <c r="G1054" i="38"/>
  <c r="G1055" i="38"/>
  <c r="K30" i="44"/>
  <c r="K16" i="44"/>
  <c r="E16" i="44"/>
  <c r="H18" i="44"/>
  <c r="J18" i="44" s="1"/>
  <c r="K18" i="44" s="1"/>
  <c r="G29" i="44"/>
  <c r="G18" i="44"/>
  <c r="F18" i="44"/>
  <c r="Q15" i="42"/>
  <c r="J482" i="38"/>
  <c r="K482" i="38"/>
  <c r="J483" i="38"/>
  <c r="K483" i="38"/>
  <c r="G482" i="38"/>
  <c r="G483" i="38"/>
  <c r="J611" i="38"/>
  <c r="K611" i="38"/>
  <c r="J612" i="38"/>
  <c r="K612" i="38"/>
  <c r="J613" i="38"/>
  <c r="K613" i="38"/>
  <c r="J614" i="38"/>
  <c r="K614" i="38"/>
  <c r="J615" i="38"/>
  <c r="K615" i="38"/>
  <c r="G611" i="38"/>
  <c r="G612" i="38"/>
  <c r="G613" i="38"/>
  <c r="G614" i="38"/>
  <c r="G615" i="38"/>
  <c r="J1405" i="38"/>
  <c r="K1405" i="38"/>
  <c r="G1405" i="38"/>
  <c r="J1030" i="38"/>
  <c r="K1030" i="38"/>
  <c r="J1031" i="38"/>
  <c r="K1031" i="38"/>
  <c r="J1032" i="38"/>
  <c r="K1032" i="38"/>
  <c r="J1033" i="38"/>
  <c r="K1033" i="38"/>
  <c r="J1034" i="38"/>
  <c r="K1034" i="38"/>
  <c r="J1035" i="38"/>
  <c r="K1035" i="38"/>
  <c r="J1036" i="38"/>
  <c r="K1036" i="38"/>
  <c r="J1037" i="38"/>
  <c r="K1037" i="38"/>
  <c r="J1038" i="38"/>
  <c r="K1038" i="38"/>
  <c r="J1039" i="38"/>
  <c r="K1039" i="38"/>
  <c r="J1040" i="38"/>
  <c r="K1040" i="38"/>
  <c r="J1042" i="38"/>
  <c r="K1042" i="38"/>
  <c r="G1030" i="38"/>
  <c r="G1031" i="38"/>
  <c r="G1032" i="38"/>
  <c r="G1033" i="38"/>
  <c r="G1034" i="38"/>
  <c r="G1035" i="38"/>
  <c r="G1036" i="38"/>
  <c r="G1037" i="38"/>
  <c r="G1038" i="38"/>
  <c r="G1039" i="38"/>
  <c r="G1040" i="38"/>
  <c r="G1042" i="38"/>
  <c r="J479" i="38"/>
  <c r="J480" i="38"/>
  <c r="K14" i="42"/>
  <c r="K480" i="38"/>
  <c r="J481" i="38"/>
  <c r="K481" i="38"/>
  <c r="G479" i="38"/>
  <c r="G480" i="38"/>
  <c r="G481" i="38"/>
  <c r="J1023" i="38"/>
  <c r="K1023" i="38"/>
  <c r="J1024" i="38"/>
  <c r="K1024" i="38"/>
  <c r="J1025" i="38"/>
  <c r="K1025" i="38"/>
  <c r="J1026" i="38"/>
  <c r="K1026" i="38"/>
  <c r="J1027" i="38"/>
  <c r="K1027" i="38"/>
  <c r="J1028" i="38"/>
  <c r="K1028" i="38"/>
  <c r="J1029" i="38"/>
  <c r="K1029" i="38"/>
  <c r="G1023" i="38"/>
  <c r="G1024" i="38"/>
  <c r="G1025" i="38"/>
  <c r="G1026" i="38"/>
  <c r="G1027" i="38"/>
  <c r="G1028" i="38"/>
  <c r="G1029" i="38"/>
  <c r="K479" i="38"/>
  <c r="G1022" i="38"/>
  <c r="G1018" i="38"/>
  <c r="G1019" i="38"/>
  <c r="G1020" i="38"/>
  <c r="G1021" i="38"/>
  <c r="J1018" i="38"/>
  <c r="K1018" i="38"/>
  <c r="J1019" i="38"/>
  <c r="K1019" i="38"/>
  <c r="J1020" i="38"/>
  <c r="K1020" i="38"/>
  <c r="J1021" i="38"/>
  <c r="K1021" i="38"/>
  <c r="J1022" i="38"/>
  <c r="K1022" i="38"/>
  <c r="J104" i="38"/>
  <c r="K104" i="38"/>
  <c r="G104" i="38"/>
  <c r="J1001" i="38"/>
  <c r="K1001" i="38"/>
  <c r="J1002" i="38"/>
  <c r="K1002" i="38"/>
  <c r="J1003" i="38"/>
  <c r="K1003" i="38"/>
  <c r="J1004" i="38"/>
  <c r="K1004" i="38"/>
  <c r="J1005" i="38"/>
  <c r="K1005" i="38"/>
  <c r="J1006" i="38"/>
  <c r="K1006" i="38"/>
  <c r="J1007" i="38"/>
  <c r="K1007" i="38"/>
  <c r="J1008" i="38"/>
  <c r="K1008" i="38"/>
  <c r="J1009" i="38"/>
  <c r="K1009" i="38"/>
  <c r="J1010" i="38"/>
  <c r="K1010" i="38"/>
  <c r="J1011" i="38"/>
  <c r="K1011" i="38"/>
  <c r="J1012" i="38"/>
  <c r="K1012" i="38"/>
  <c r="J1013" i="38"/>
  <c r="K1013" i="38"/>
  <c r="J1014" i="38"/>
  <c r="K1014" i="38"/>
  <c r="J1015" i="38"/>
  <c r="K1015" i="38"/>
  <c r="J1016" i="38"/>
  <c r="K1016" i="38"/>
  <c r="J1017" i="38"/>
  <c r="K1017" i="38"/>
  <c r="G1001" i="38"/>
  <c r="G1002" i="38"/>
  <c r="G1003" i="38"/>
  <c r="G1004" i="38"/>
  <c r="G1005" i="38"/>
  <c r="G1006" i="38"/>
  <c r="G1007" i="38"/>
  <c r="G1008" i="38"/>
  <c r="G1009" i="38"/>
  <c r="G1010" i="38"/>
  <c r="G1011" i="38"/>
  <c r="G1012" i="38"/>
  <c r="G1013" i="38"/>
  <c r="G1014" i="38"/>
  <c r="G1015" i="38"/>
  <c r="G1016" i="38"/>
  <c r="G1017" i="38"/>
  <c r="G31" i="46" l="1"/>
  <c r="F31" i="46"/>
  <c r="E31" i="46"/>
  <c r="D31" i="46"/>
  <c r="C31" i="46"/>
  <c r="G22" i="46"/>
  <c r="F22" i="46"/>
  <c r="E22" i="46"/>
  <c r="D22" i="46"/>
  <c r="C22" i="46"/>
  <c r="H30" i="46"/>
  <c r="I30" i="46"/>
  <c r="J30" i="46"/>
  <c r="K30" i="46"/>
  <c r="L30" i="46"/>
  <c r="M30" i="46"/>
  <c r="N30" i="46"/>
  <c r="H21" i="46"/>
  <c r="I21" i="46"/>
  <c r="J21" i="46"/>
  <c r="K21" i="46"/>
  <c r="L21" i="46"/>
  <c r="M21" i="46"/>
  <c r="N21" i="46"/>
  <c r="J17" i="46"/>
  <c r="K17" i="46"/>
  <c r="L17" i="46"/>
  <c r="M17" i="46"/>
  <c r="N17" i="46"/>
  <c r="C19" i="46"/>
  <c r="D19" i="46"/>
  <c r="G19" i="46"/>
  <c r="F19" i="46"/>
  <c r="E19" i="46"/>
  <c r="L28" i="46"/>
  <c r="G29" i="46"/>
  <c r="G28" i="46"/>
  <c r="C29" i="46"/>
  <c r="N29" i="46"/>
  <c r="M29" i="46"/>
  <c r="L29" i="46"/>
  <c r="K29" i="46"/>
  <c r="J29" i="46"/>
  <c r="I29" i="46"/>
  <c r="H29" i="46"/>
  <c r="F29" i="46"/>
  <c r="E29" i="46"/>
  <c r="D29" i="46"/>
  <c r="E28" i="46"/>
  <c r="N28" i="46"/>
  <c r="M28" i="46"/>
  <c r="K28" i="46"/>
  <c r="J28" i="46"/>
  <c r="I28" i="46"/>
  <c r="H28" i="46"/>
  <c r="F28" i="46"/>
  <c r="D28" i="46"/>
  <c r="C28" i="46"/>
  <c r="O33" i="46"/>
  <c r="O20" i="46"/>
  <c r="O24" i="46"/>
  <c r="Q13" i="42"/>
  <c r="J1404" i="38"/>
  <c r="K1404" i="38"/>
  <c r="G999" i="38"/>
  <c r="J989" i="38"/>
  <c r="K989" i="38"/>
  <c r="J990" i="38"/>
  <c r="K990" i="38"/>
  <c r="J991" i="38"/>
  <c r="K991" i="38"/>
  <c r="J992" i="38"/>
  <c r="K992" i="38"/>
  <c r="J993" i="38"/>
  <c r="K993" i="38"/>
  <c r="J1000" i="38"/>
  <c r="K1000" i="38"/>
  <c r="J994" i="38"/>
  <c r="K994" i="38"/>
  <c r="J995" i="38"/>
  <c r="K995" i="38"/>
  <c r="J996" i="38"/>
  <c r="K996" i="38"/>
  <c r="J997" i="38"/>
  <c r="K997" i="38"/>
  <c r="J998" i="38"/>
  <c r="K998" i="38"/>
  <c r="J999" i="38"/>
  <c r="K999" i="38"/>
  <c r="G991" i="38"/>
  <c r="G992" i="38"/>
  <c r="G993" i="38"/>
  <c r="G1000" i="38"/>
  <c r="G994" i="38"/>
  <c r="G995" i="38"/>
  <c r="G996" i="38"/>
  <c r="G997" i="38"/>
  <c r="G998" i="38"/>
  <c r="J985" i="38"/>
  <c r="K985" i="38"/>
  <c r="J986" i="38"/>
  <c r="K986" i="38"/>
  <c r="J987" i="38"/>
  <c r="K987" i="38"/>
  <c r="J988" i="38"/>
  <c r="K988" i="38"/>
  <c r="G986" i="38"/>
  <c r="G987" i="38"/>
  <c r="G988" i="38"/>
  <c r="G989" i="38"/>
  <c r="G990" i="38"/>
  <c r="J313" i="38"/>
  <c r="K313" i="38"/>
  <c r="J314" i="38"/>
  <c r="K314" i="38"/>
  <c r="J315" i="38"/>
  <c r="K315" i="38"/>
  <c r="J316" i="38"/>
  <c r="K316" i="38"/>
  <c r="J317" i="38"/>
  <c r="K317" i="38"/>
  <c r="G313" i="38"/>
  <c r="G314" i="38"/>
  <c r="G315" i="38"/>
  <c r="G316" i="38"/>
  <c r="G317" i="38"/>
  <c r="J478" i="38"/>
  <c r="K478" i="38"/>
  <c r="G478" i="38"/>
  <c r="J978" i="38"/>
  <c r="K978" i="38"/>
  <c r="J979" i="38"/>
  <c r="K979" i="38"/>
  <c r="J980" i="38"/>
  <c r="K980" i="38"/>
  <c r="J981" i="38"/>
  <c r="K981" i="38"/>
  <c r="J982" i="38"/>
  <c r="K982" i="38"/>
  <c r="J983" i="38"/>
  <c r="K983" i="38"/>
  <c r="J984" i="38"/>
  <c r="K984" i="38"/>
  <c r="G978" i="38"/>
  <c r="G979" i="38"/>
  <c r="G980" i="38"/>
  <c r="G981" i="38"/>
  <c r="G982" i="38"/>
  <c r="G983" i="38"/>
  <c r="G984" i="38"/>
  <c r="G985" i="38"/>
  <c r="J969" i="38"/>
  <c r="K969" i="38"/>
  <c r="J970" i="38"/>
  <c r="K970" i="38"/>
  <c r="J971" i="38"/>
  <c r="K971" i="38"/>
  <c r="J972" i="38"/>
  <c r="K972" i="38"/>
  <c r="J973" i="38"/>
  <c r="K973" i="38"/>
  <c r="J974" i="38"/>
  <c r="K974" i="38"/>
  <c r="J975" i="38"/>
  <c r="K975" i="38"/>
  <c r="J976" i="38"/>
  <c r="K976" i="38"/>
  <c r="J977" i="38"/>
  <c r="K977" i="38"/>
  <c r="G969" i="38"/>
  <c r="G970" i="38"/>
  <c r="G971" i="38"/>
  <c r="G972" i="38"/>
  <c r="G973" i="38"/>
  <c r="G974" i="38"/>
  <c r="G975" i="38"/>
  <c r="G976" i="38"/>
  <c r="G977" i="38"/>
  <c r="J91" i="38"/>
  <c r="K91" i="38"/>
  <c r="J92" i="38"/>
  <c r="K92" i="38"/>
  <c r="J93" i="38"/>
  <c r="K93" i="38"/>
  <c r="J94" i="38"/>
  <c r="K94" i="38"/>
  <c r="J95" i="38"/>
  <c r="K95" i="38"/>
  <c r="J96" i="38"/>
  <c r="K96" i="38"/>
  <c r="J97" i="38"/>
  <c r="K97" i="38"/>
  <c r="J98" i="38"/>
  <c r="K98" i="38"/>
  <c r="J99" i="38"/>
  <c r="K99" i="38"/>
  <c r="J100" i="38"/>
  <c r="K100" i="38"/>
  <c r="J101" i="38"/>
  <c r="K101" i="38"/>
  <c r="J102" i="38"/>
  <c r="K102" i="38"/>
  <c r="J103" i="38"/>
  <c r="K103" i="38"/>
  <c r="G91" i="38"/>
  <c r="G92" i="38"/>
  <c r="G93" i="38"/>
  <c r="G94" i="38"/>
  <c r="G95" i="38"/>
  <c r="G96" i="38"/>
  <c r="G97" i="38"/>
  <c r="G98" i="38"/>
  <c r="G99" i="38"/>
  <c r="G100" i="38"/>
  <c r="G101" i="38"/>
  <c r="G102" i="38"/>
  <c r="G103" i="38"/>
  <c r="J303" i="38"/>
  <c r="K303" i="38"/>
  <c r="J304" i="38"/>
  <c r="K304" i="38"/>
  <c r="J305" i="38"/>
  <c r="K305" i="38"/>
  <c r="J306" i="38"/>
  <c r="K306" i="38"/>
  <c r="J307" i="38"/>
  <c r="K307" i="38"/>
  <c r="J308" i="38"/>
  <c r="K308" i="38"/>
  <c r="J309" i="38"/>
  <c r="K309" i="38"/>
  <c r="J310" i="38"/>
  <c r="K310" i="38"/>
  <c r="J311" i="38"/>
  <c r="K311" i="38"/>
  <c r="J312" i="38"/>
  <c r="K312" i="38"/>
  <c r="G307" i="38"/>
  <c r="G308" i="38"/>
  <c r="G309" i="38"/>
  <c r="G310" i="38"/>
  <c r="G311" i="38"/>
  <c r="G312" i="38"/>
  <c r="G303" i="38"/>
  <c r="G304" i="38"/>
  <c r="G305" i="38"/>
  <c r="G306" i="38"/>
  <c r="J469" i="38"/>
  <c r="K469" i="38"/>
  <c r="J470" i="38"/>
  <c r="K470" i="38"/>
  <c r="J471" i="38"/>
  <c r="K471" i="38"/>
  <c r="J472" i="38"/>
  <c r="K472" i="38"/>
  <c r="J473" i="38"/>
  <c r="K473" i="38"/>
  <c r="J474" i="38"/>
  <c r="K474" i="38"/>
  <c r="J475" i="38"/>
  <c r="K475" i="38"/>
  <c r="J476" i="38"/>
  <c r="K476" i="38"/>
  <c r="J477" i="38"/>
  <c r="K477" i="38"/>
  <c r="G469" i="38"/>
  <c r="G470" i="38"/>
  <c r="G471" i="38"/>
  <c r="G472" i="38"/>
  <c r="G473" i="38"/>
  <c r="G474" i="38"/>
  <c r="G475" i="38"/>
  <c r="G476" i="38"/>
  <c r="G477" i="38"/>
  <c r="J961" i="38"/>
  <c r="K961" i="38"/>
  <c r="J962" i="38"/>
  <c r="K962" i="38"/>
  <c r="J963" i="38"/>
  <c r="K963" i="38"/>
  <c r="J964" i="38"/>
  <c r="K964" i="38"/>
  <c r="J965" i="38"/>
  <c r="K965" i="38"/>
  <c r="J966" i="38"/>
  <c r="K966" i="38"/>
  <c r="J967" i="38"/>
  <c r="K967" i="38"/>
  <c r="J968" i="38"/>
  <c r="K968" i="38"/>
  <c r="G961" i="38"/>
  <c r="G962" i="38"/>
  <c r="G963" i="38"/>
  <c r="G964" i="38"/>
  <c r="G965" i="38"/>
  <c r="G966" i="38"/>
  <c r="G967" i="38"/>
  <c r="G968" i="38"/>
  <c r="G609" i="38"/>
  <c r="G610" i="38"/>
  <c r="J609" i="38"/>
  <c r="K609" i="38"/>
  <c r="J610" i="38"/>
  <c r="K610" i="38"/>
  <c r="J950" i="38"/>
  <c r="K950" i="38"/>
  <c r="J951" i="38"/>
  <c r="K951" i="38"/>
  <c r="J952" i="38"/>
  <c r="K952" i="38"/>
  <c r="J953" i="38"/>
  <c r="K953" i="38"/>
  <c r="J954" i="38"/>
  <c r="K954" i="38"/>
  <c r="J955" i="38"/>
  <c r="K955" i="38"/>
  <c r="J956" i="38"/>
  <c r="K956" i="38"/>
  <c r="J957" i="38"/>
  <c r="K957" i="38"/>
  <c r="J958" i="38"/>
  <c r="K958" i="38"/>
  <c r="J959" i="38"/>
  <c r="K959" i="38"/>
  <c r="J960" i="38"/>
  <c r="K960" i="38"/>
  <c r="G950" i="38"/>
  <c r="G951" i="38"/>
  <c r="G952" i="38"/>
  <c r="G953" i="38"/>
  <c r="G954" i="38"/>
  <c r="G955" i="38"/>
  <c r="G956" i="38"/>
  <c r="G957" i="38"/>
  <c r="G958" i="38"/>
  <c r="G959" i="38"/>
  <c r="G960" i="38"/>
  <c r="J287" i="38"/>
  <c r="K287" i="38"/>
  <c r="J288" i="38"/>
  <c r="K288" i="38"/>
  <c r="J289" i="38"/>
  <c r="K289" i="38"/>
  <c r="J290" i="38"/>
  <c r="K290" i="38"/>
  <c r="J291" i="38"/>
  <c r="K291" i="38"/>
  <c r="J292" i="38"/>
  <c r="K292" i="38"/>
  <c r="J293" i="38"/>
  <c r="K293" i="38"/>
  <c r="J294" i="38"/>
  <c r="K294" i="38"/>
  <c r="J295" i="38"/>
  <c r="K295" i="38"/>
  <c r="J296" i="38"/>
  <c r="K296" i="38"/>
  <c r="J297" i="38"/>
  <c r="K297" i="38"/>
  <c r="J298" i="38"/>
  <c r="K298" i="38"/>
  <c r="J299" i="38"/>
  <c r="K299" i="38"/>
  <c r="J300" i="38"/>
  <c r="K300" i="38"/>
  <c r="J301" i="38"/>
  <c r="K301" i="38"/>
  <c r="J302" i="38"/>
  <c r="K302" i="38"/>
  <c r="G294" i="38"/>
  <c r="G295" i="38"/>
  <c r="G296" i="38"/>
  <c r="G297" i="38"/>
  <c r="G298" i="38"/>
  <c r="G299" i="38"/>
  <c r="G300" i="38"/>
  <c r="G301" i="38"/>
  <c r="G302" i="38"/>
  <c r="G287" i="38"/>
  <c r="G288" i="38"/>
  <c r="G289" i="38"/>
  <c r="G290" i="38"/>
  <c r="G291" i="38"/>
  <c r="G292" i="38"/>
  <c r="G293" i="38"/>
  <c r="J89" i="38"/>
  <c r="K89" i="38"/>
  <c r="J90" i="38"/>
  <c r="K90" i="38"/>
  <c r="G89" i="38"/>
  <c r="G90" i="38"/>
  <c r="J467" i="38"/>
  <c r="K467" i="38"/>
  <c r="J468" i="38"/>
  <c r="K468" i="38"/>
  <c r="G465" i="38"/>
  <c r="G466" i="38"/>
  <c r="G467" i="38"/>
  <c r="G468" i="38"/>
  <c r="M16" i="46" l="1"/>
  <c r="L16" i="46"/>
  <c r="N16" i="46"/>
  <c r="J16" i="46"/>
  <c r="O31" i="46"/>
  <c r="O22" i="46"/>
  <c r="K16" i="46"/>
  <c r="O19" i="46"/>
  <c r="O28" i="46"/>
  <c r="O29" i="46"/>
  <c r="J605" i="38"/>
  <c r="K605" i="38"/>
  <c r="J606" i="38"/>
  <c r="K606" i="38"/>
  <c r="J607" i="38"/>
  <c r="K607" i="38"/>
  <c r="J608" i="38"/>
  <c r="K608" i="38"/>
  <c r="G605" i="38"/>
  <c r="G606" i="38"/>
  <c r="G607" i="38"/>
  <c r="G608" i="38"/>
  <c r="J942" i="38"/>
  <c r="K942" i="38"/>
  <c r="J943" i="38"/>
  <c r="K943" i="38"/>
  <c r="J944" i="38"/>
  <c r="K944" i="38"/>
  <c r="J945" i="38"/>
  <c r="K945" i="38"/>
  <c r="J946" i="38"/>
  <c r="K946" i="38"/>
  <c r="J947" i="38"/>
  <c r="K947" i="38"/>
  <c r="J948" i="38"/>
  <c r="K948" i="38"/>
  <c r="J949" i="38"/>
  <c r="K949" i="38"/>
  <c r="G942" i="38"/>
  <c r="G943" i="38"/>
  <c r="G944" i="38"/>
  <c r="G945" i="38"/>
  <c r="G946" i="38"/>
  <c r="G947" i="38"/>
  <c r="G948" i="38"/>
  <c r="G949" i="38"/>
  <c r="J932" i="38"/>
  <c r="K932" i="38"/>
  <c r="J933" i="38"/>
  <c r="K933" i="38"/>
  <c r="J934" i="38"/>
  <c r="K934" i="38"/>
  <c r="J935" i="38"/>
  <c r="K935" i="38"/>
  <c r="J936" i="38"/>
  <c r="K936" i="38"/>
  <c r="J937" i="38"/>
  <c r="K937" i="38"/>
  <c r="J938" i="38"/>
  <c r="K938" i="38"/>
  <c r="J939" i="38"/>
  <c r="K939" i="38"/>
  <c r="J940" i="38"/>
  <c r="K940" i="38"/>
  <c r="J941" i="38"/>
  <c r="K941" i="38"/>
  <c r="G932" i="38"/>
  <c r="G933" i="38"/>
  <c r="G934" i="38"/>
  <c r="G935" i="38"/>
  <c r="G936" i="38"/>
  <c r="G937" i="38"/>
  <c r="G938" i="38"/>
  <c r="G939" i="38"/>
  <c r="G940" i="38"/>
  <c r="G941" i="38"/>
  <c r="Q33" i="42"/>
  <c r="J83" i="38"/>
  <c r="K83" i="38"/>
  <c r="J84" i="38"/>
  <c r="K84" i="38"/>
  <c r="J85" i="38"/>
  <c r="K85" i="38"/>
  <c r="J86" i="38"/>
  <c r="K86" i="38"/>
  <c r="J87" i="38"/>
  <c r="K87" i="38"/>
  <c r="J88" i="38"/>
  <c r="K88" i="38"/>
  <c r="G86" i="38" l="1"/>
  <c r="G87" i="38"/>
  <c r="G88" i="38"/>
  <c r="G83" i="38"/>
  <c r="G84" i="38"/>
  <c r="G85" i="38"/>
  <c r="J464" i="38"/>
  <c r="K464" i="38"/>
  <c r="J465" i="38"/>
  <c r="K465" i="38"/>
  <c r="J466" i="38"/>
  <c r="K466" i="38"/>
  <c r="G464" i="38"/>
  <c r="J931" i="38"/>
  <c r="K931" i="38"/>
  <c r="G931" i="38"/>
  <c r="J281" i="38"/>
  <c r="K281" i="38"/>
  <c r="J282" i="38"/>
  <c r="K282" i="38"/>
  <c r="J283" i="38"/>
  <c r="K283" i="38"/>
  <c r="J284" i="38"/>
  <c r="K284" i="38"/>
  <c r="J285" i="38"/>
  <c r="K285" i="38"/>
  <c r="J286" i="38"/>
  <c r="K286" i="38"/>
  <c r="G281" i="38"/>
  <c r="G282" i="38"/>
  <c r="G283" i="38"/>
  <c r="G284" i="38"/>
  <c r="G285" i="38"/>
  <c r="G286" i="38"/>
  <c r="K13" i="42"/>
  <c r="G1404" i="38"/>
  <c r="J272" i="38"/>
  <c r="K272" i="38"/>
  <c r="J273" i="38"/>
  <c r="K273" i="38"/>
  <c r="J274" i="38"/>
  <c r="K274" i="38"/>
  <c r="J275" i="38"/>
  <c r="K275" i="38"/>
  <c r="J276" i="38"/>
  <c r="K276" i="38"/>
  <c r="J277" i="38"/>
  <c r="K277" i="38"/>
  <c r="J278" i="38"/>
  <c r="K278" i="38"/>
  <c r="J279" i="38"/>
  <c r="K279" i="38"/>
  <c r="J280" i="38"/>
  <c r="K280" i="38"/>
  <c r="J925" i="38"/>
  <c r="K925" i="38"/>
  <c r="J926" i="38"/>
  <c r="K926" i="38"/>
  <c r="J927" i="38"/>
  <c r="K927" i="38"/>
  <c r="J928" i="38"/>
  <c r="K928" i="38"/>
  <c r="J929" i="38"/>
  <c r="K929" i="38"/>
  <c r="J930" i="38"/>
  <c r="K930" i="38"/>
  <c r="G273" i="38"/>
  <c r="G274" i="38"/>
  <c r="G275" i="38"/>
  <c r="G276" i="38"/>
  <c r="G277" i="38"/>
  <c r="G278" i="38"/>
  <c r="G279" i="38"/>
  <c r="G280" i="38"/>
  <c r="G272" i="38"/>
  <c r="G926" i="38"/>
  <c r="G927" i="38"/>
  <c r="G928" i="38"/>
  <c r="G929" i="38"/>
  <c r="G930" i="38"/>
  <c r="G925" i="38"/>
  <c r="G462" i="38"/>
  <c r="J462" i="38"/>
  <c r="K462" i="38"/>
  <c r="G463" i="38"/>
  <c r="J463" i="38"/>
  <c r="K463" i="38"/>
  <c r="J269" i="38"/>
  <c r="K269" i="38"/>
  <c r="J270" i="38"/>
  <c r="K270" i="38"/>
  <c r="J271" i="38"/>
  <c r="K271" i="38"/>
  <c r="G269" i="38"/>
  <c r="G270" i="38"/>
  <c r="G271" i="38"/>
  <c r="J916" i="38"/>
  <c r="K916" i="38"/>
  <c r="J917" i="38"/>
  <c r="K917" i="38"/>
  <c r="J918" i="38"/>
  <c r="K918" i="38"/>
  <c r="J919" i="38"/>
  <c r="K919" i="38"/>
  <c r="J920" i="38"/>
  <c r="K920" i="38"/>
  <c r="J921" i="38"/>
  <c r="K921" i="38"/>
  <c r="J922" i="38"/>
  <c r="K922" i="38"/>
  <c r="J923" i="38"/>
  <c r="K923" i="38"/>
  <c r="J924" i="38"/>
  <c r="K924" i="38"/>
  <c r="G916" i="38"/>
  <c r="G917" i="38"/>
  <c r="G918" i="38"/>
  <c r="G919" i="38"/>
  <c r="G920" i="38"/>
  <c r="G921" i="38"/>
  <c r="G922" i="38"/>
  <c r="G923" i="38"/>
  <c r="G924" i="38"/>
  <c r="J461" i="38"/>
  <c r="K461" i="38"/>
  <c r="G461" i="38"/>
  <c r="J262" i="38"/>
  <c r="K262" i="38"/>
  <c r="J263" i="38"/>
  <c r="K263" i="38"/>
  <c r="J264" i="38"/>
  <c r="K264" i="38"/>
  <c r="J265" i="38"/>
  <c r="K265" i="38"/>
  <c r="J266" i="38"/>
  <c r="K266" i="38"/>
  <c r="J267" i="38"/>
  <c r="K267" i="38"/>
  <c r="J268" i="38"/>
  <c r="K268" i="38"/>
  <c r="J457" i="38"/>
  <c r="K457" i="38"/>
  <c r="J458" i="38"/>
  <c r="K458" i="38"/>
  <c r="J459" i="38"/>
  <c r="K459" i="38"/>
  <c r="J460" i="38"/>
  <c r="K460" i="38"/>
  <c r="G457" i="38"/>
  <c r="G458" i="38"/>
  <c r="G459" i="38"/>
  <c r="G460" i="38"/>
  <c r="J913" i="38"/>
  <c r="K913" i="38"/>
  <c r="J914" i="38"/>
  <c r="K914" i="38"/>
  <c r="J915" i="38"/>
  <c r="K915" i="38"/>
  <c r="G913" i="38"/>
  <c r="G914" i="38"/>
  <c r="G915" i="38"/>
  <c r="G262" i="38"/>
  <c r="G263" i="38"/>
  <c r="G264" i="38"/>
  <c r="G265" i="38"/>
  <c r="G266" i="38"/>
  <c r="G267" i="38"/>
  <c r="G268" i="38"/>
  <c r="J444" i="38"/>
  <c r="K444" i="38"/>
  <c r="J445" i="38"/>
  <c r="K445" i="38"/>
  <c r="J446" i="38"/>
  <c r="K446" i="38"/>
  <c r="J447" i="38"/>
  <c r="K447" i="38"/>
  <c r="J448" i="38"/>
  <c r="K448" i="38"/>
  <c r="G444" i="38"/>
  <c r="G445" i="38"/>
  <c r="G446" i="38"/>
  <c r="G447" i="38"/>
  <c r="G448" i="38"/>
  <c r="J443" i="38"/>
  <c r="K443" i="38"/>
  <c r="J449" i="38"/>
  <c r="K449" i="38"/>
  <c r="J450" i="38"/>
  <c r="K450" i="38"/>
  <c r="J451" i="38"/>
  <c r="K451" i="38"/>
  <c r="J452" i="38"/>
  <c r="K452" i="38"/>
  <c r="J454" i="38"/>
  <c r="K454" i="38"/>
  <c r="J455" i="38"/>
  <c r="K455" i="38"/>
  <c r="J456" i="38"/>
  <c r="K456" i="38"/>
  <c r="G443" i="38"/>
  <c r="G449" i="38"/>
  <c r="G450" i="38"/>
  <c r="G451" i="38"/>
  <c r="G452" i="38"/>
  <c r="G454" i="38"/>
  <c r="G455" i="38"/>
  <c r="G456" i="38"/>
  <c r="K259" i="38"/>
  <c r="J259" i="38"/>
  <c r="K258" i="38"/>
  <c r="J258" i="38"/>
  <c r="K257" i="38"/>
  <c r="J257" i="38"/>
  <c r="K256" i="38"/>
  <c r="J256" i="38"/>
  <c r="G256" i="38"/>
  <c r="G257" i="38"/>
  <c r="G258" i="38"/>
  <c r="G259" i="38"/>
  <c r="J261" i="38"/>
  <c r="K261" i="38"/>
  <c r="G261" i="38"/>
  <c r="J440" i="38"/>
  <c r="K440" i="38"/>
  <c r="J453" i="38"/>
  <c r="K453" i="38"/>
  <c r="J441" i="38"/>
  <c r="K441" i="38"/>
  <c r="J442" i="38"/>
  <c r="K442" i="38"/>
  <c r="G440" i="38"/>
  <c r="G453" i="38"/>
  <c r="G441" i="38"/>
  <c r="G442" i="38"/>
  <c r="H440" i="38"/>
  <c r="H453" i="38"/>
  <c r="H441" i="38"/>
  <c r="H442" i="38"/>
  <c r="Q34" i="42"/>
  <c r="K260" i="38"/>
  <c r="J260" i="38"/>
  <c r="K254" i="38"/>
  <c r="J254" i="38"/>
  <c r="K238" i="38"/>
  <c r="J238" i="38"/>
  <c r="K234" i="38"/>
  <c r="J234" i="38"/>
  <c r="K231" i="38"/>
  <c r="J231" i="38"/>
  <c r="K227" i="38"/>
  <c r="J227" i="38"/>
  <c r="K217" i="38"/>
  <c r="J217" i="38"/>
  <c r="K216" i="38"/>
  <c r="J216" i="38"/>
  <c r="K209" i="38"/>
  <c r="J209" i="38"/>
  <c r="K200" i="38"/>
  <c r="J200" i="38"/>
  <c r="K198" i="38"/>
  <c r="J198" i="38"/>
  <c r="K165" i="38"/>
  <c r="J165" i="38"/>
  <c r="K155" i="38"/>
  <c r="J155" i="38"/>
  <c r="K82" i="38"/>
  <c r="J82" i="38"/>
  <c r="K78" i="38"/>
  <c r="J78" i="38"/>
  <c r="K63" i="38"/>
  <c r="J63" i="38"/>
  <c r="G260" i="38"/>
  <c r="G82" i="38"/>
  <c r="J429" i="38"/>
  <c r="K429" i="38"/>
  <c r="J430" i="38"/>
  <c r="K430" i="38"/>
  <c r="J431" i="38"/>
  <c r="K431" i="38"/>
  <c r="J432" i="38"/>
  <c r="K432" i="38"/>
  <c r="J433" i="38"/>
  <c r="K433" i="38"/>
  <c r="J434" i="38"/>
  <c r="K434" i="38"/>
  <c r="J435" i="38"/>
  <c r="K435" i="38"/>
  <c r="J436" i="38"/>
  <c r="K436" i="38"/>
  <c r="J437" i="38"/>
  <c r="K437" i="38"/>
  <c r="J438" i="38"/>
  <c r="K438" i="38"/>
  <c r="J439" i="38"/>
  <c r="K439" i="38"/>
  <c r="G428" i="38"/>
  <c r="G429" i="38"/>
  <c r="G430" i="38"/>
  <c r="G431" i="38"/>
  <c r="G432" i="38"/>
  <c r="G433" i="38"/>
  <c r="G434" i="38"/>
  <c r="G435" i="38"/>
  <c r="G436" i="38"/>
  <c r="G437" i="38"/>
  <c r="G438" i="38"/>
  <c r="G439" i="38"/>
  <c r="J907" i="38"/>
  <c r="K907" i="38"/>
  <c r="J908" i="38"/>
  <c r="K908" i="38"/>
  <c r="J909" i="38"/>
  <c r="K909" i="38"/>
  <c r="J910" i="38"/>
  <c r="K910" i="38"/>
  <c r="J911" i="38"/>
  <c r="K911" i="38"/>
  <c r="J912" i="38"/>
  <c r="K912" i="38"/>
  <c r="G907" i="38"/>
  <c r="G908" i="38"/>
  <c r="G909" i="38"/>
  <c r="G910" i="38"/>
  <c r="G911" i="38"/>
  <c r="G912" i="38"/>
  <c r="J906" i="38"/>
  <c r="K906" i="38"/>
  <c r="G906" i="38"/>
  <c r="Q49" i="42"/>
  <c r="J425" i="38"/>
  <c r="K425" i="38"/>
  <c r="G425" i="38"/>
  <c r="J253" i="38"/>
  <c r="K253" i="38"/>
  <c r="J255" i="38"/>
  <c r="K255" i="38"/>
  <c r="G253" i="38"/>
  <c r="G254" i="38"/>
  <c r="G255" i="38"/>
  <c r="J900" i="38"/>
  <c r="K900" i="38"/>
  <c r="J901" i="38"/>
  <c r="K901" i="38"/>
  <c r="J902" i="38"/>
  <c r="K902" i="38"/>
  <c r="J903" i="38"/>
  <c r="K903" i="38"/>
  <c r="J904" i="38"/>
  <c r="K904" i="38"/>
  <c r="J905" i="38"/>
  <c r="K905" i="38"/>
  <c r="G900" i="38"/>
  <c r="G901" i="38"/>
  <c r="G902" i="38"/>
  <c r="G903" i="38"/>
  <c r="G904" i="38"/>
  <c r="G905" i="38"/>
  <c r="J898" i="38"/>
  <c r="K898" i="38"/>
  <c r="J899" i="38"/>
  <c r="K899" i="38"/>
  <c r="G898" i="38"/>
  <c r="G899" i="38"/>
  <c r="J247" i="38"/>
  <c r="K247" i="38"/>
  <c r="J248" i="38"/>
  <c r="K248" i="38"/>
  <c r="J249" i="38"/>
  <c r="K249" i="38"/>
  <c r="J250" i="38"/>
  <c r="K250" i="38"/>
  <c r="J251" i="38"/>
  <c r="K251" i="38"/>
  <c r="J252" i="38"/>
  <c r="K252" i="38"/>
  <c r="G18" i="46" l="1"/>
  <c r="G17" i="46" s="1"/>
  <c r="K27" i="46"/>
  <c r="K26" i="46" s="1"/>
  <c r="K25" i="46" s="1"/>
  <c r="K34" i="46" s="1"/>
  <c r="G27" i="46"/>
  <c r="G26" i="46" s="1"/>
  <c r="C27" i="46"/>
  <c r="E18" i="46"/>
  <c r="E17" i="46" s="1"/>
  <c r="I18" i="46"/>
  <c r="I17" i="46" s="1"/>
  <c r="I16" i="46" s="1"/>
  <c r="D18" i="46"/>
  <c r="D17" i="46" s="1"/>
  <c r="M27" i="46"/>
  <c r="M26" i="46" s="1"/>
  <c r="M25" i="46" s="1"/>
  <c r="M34" i="46" s="1"/>
  <c r="H18" i="46"/>
  <c r="H17" i="46" s="1"/>
  <c r="H16" i="46" s="1"/>
  <c r="L27" i="46"/>
  <c r="L26" i="46" s="1"/>
  <c r="L25" i="46" s="1"/>
  <c r="L34" i="46" s="1"/>
  <c r="D27" i="46"/>
  <c r="D26" i="46" s="1"/>
  <c r="F18" i="46"/>
  <c r="F17" i="46" s="1"/>
  <c r="N27" i="46"/>
  <c r="N26" i="46" s="1"/>
  <c r="N25" i="46" s="1"/>
  <c r="N34" i="46" s="1"/>
  <c r="J27" i="46"/>
  <c r="J26" i="46" s="1"/>
  <c r="J25" i="46" s="1"/>
  <c r="J34" i="46" s="1"/>
  <c r="F27" i="46"/>
  <c r="F26" i="46" s="1"/>
  <c r="I27" i="46"/>
  <c r="I26" i="46" s="1"/>
  <c r="I25" i="46" s="1"/>
  <c r="E27" i="46"/>
  <c r="E26" i="46" s="1"/>
  <c r="C18" i="46"/>
  <c r="H27" i="46"/>
  <c r="H26" i="46" s="1"/>
  <c r="H25" i="46" s="1"/>
  <c r="E32" i="46"/>
  <c r="E30" i="46" s="1"/>
  <c r="G23" i="46"/>
  <c r="G21" i="46" s="1"/>
  <c r="C23" i="46"/>
  <c r="D32" i="46"/>
  <c r="D30" i="46" s="1"/>
  <c r="F23" i="46"/>
  <c r="F21" i="46" s="1"/>
  <c r="E23" i="46"/>
  <c r="E21" i="46" s="1"/>
  <c r="F32" i="46"/>
  <c r="F30" i="46" s="1"/>
  <c r="C32" i="46"/>
  <c r="D23" i="46"/>
  <c r="D21" i="46" s="1"/>
  <c r="G32" i="46"/>
  <c r="G30" i="46" s="1"/>
  <c r="G247" i="38"/>
  <c r="G248" i="38"/>
  <c r="G249" i="38"/>
  <c r="G250" i="38"/>
  <c r="G251" i="38"/>
  <c r="G252" i="38"/>
  <c r="J893" i="38"/>
  <c r="K893" i="38"/>
  <c r="J894" i="38"/>
  <c r="K894" i="38"/>
  <c r="J895" i="38"/>
  <c r="K895" i="38"/>
  <c r="J896" i="38"/>
  <c r="K896" i="38"/>
  <c r="J897" i="38"/>
  <c r="K897" i="38"/>
  <c r="G893" i="38"/>
  <c r="G894" i="38"/>
  <c r="G895" i="38"/>
  <c r="G896" i="38"/>
  <c r="G897" i="38"/>
  <c r="F25" i="46" l="1"/>
  <c r="G25" i="46"/>
  <c r="I34" i="46"/>
  <c r="H34" i="46"/>
  <c r="F16" i="46"/>
  <c r="C26" i="46"/>
  <c r="O26" i="46" s="1"/>
  <c r="O27" i="46"/>
  <c r="D16" i="46"/>
  <c r="C21" i="46"/>
  <c r="O21" i="46" s="1"/>
  <c r="O23" i="46"/>
  <c r="C17" i="46"/>
  <c r="O18" i="46"/>
  <c r="O32" i="46"/>
  <c r="C30" i="46"/>
  <c r="D25" i="46"/>
  <c r="E25" i="46"/>
  <c r="E16" i="46"/>
  <c r="G16" i="46"/>
  <c r="Q26" i="42"/>
  <c r="Q14" i="42"/>
  <c r="J420" i="38"/>
  <c r="K420" i="38"/>
  <c r="J421" i="38"/>
  <c r="K421" i="38"/>
  <c r="J422" i="38"/>
  <c r="K422" i="38"/>
  <c r="J423" i="38"/>
  <c r="K423" i="38"/>
  <c r="J424" i="38"/>
  <c r="K424" i="38"/>
  <c r="J426" i="38"/>
  <c r="K426" i="38"/>
  <c r="J427" i="38"/>
  <c r="K427" i="38"/>
  <c r="J428" i="38"/>
  <c r="K428" i="38"/>
  <c r="G420" i="38"/>
  <c r="G421" i="38"/>
  <c r="G422" i="38"/>
  <c r="G423" i="38"/>
  <c r="G424" i="38"/>
  <c r="G426" i="38"/>
  <c r="G427" i="38"/>
  <c r="J241" i="38"/>
  <c r="K241" i="38"/>
  <c r="J242" i="38"/>
  <c r="K242" i="38"/>
  <c r="J243" i="38"/>
  <c r="K243" i="38"/>
  <c r="J244" i="38"/>
  <c r="K244" i="38"/>
  <c r="J245" i="38"/>
  <c r="K245" i="38"/>
  <c r="J246" i="38"/>
  <c r="K246" i="38"/>
  <c r="G242" i="38"/>
  <c r="G243" i="38"/>
  <c r="G244" i="38"/>
  <c r="G245" i="38"/>
  <c r="G246" i="38"/>
  <c r="G241" i="38"/>
  <c r="J883" i="38"/>
  <c r="K883" i="38"/>
  <c r="J884" i="38"/>
  <c r="K884" i="38"/>
  <c r="J885" i="38"/>
  <c r="K885" i="38"/>
  <c r="J886" i="38"/>
  <c r="K886" i="38"/>
  <c r="J887" i="38"/>
  <c r="K887" i="38"/>
  <c r="J888" i="38"/>
  <c r="K888" i="38"/>
  <c r="J889" i="38"/>
  <c r="K889" i="38"/>
  <c r="J890" i="38"/>
  <c r="K890" i="38"/>
  <c r="J891" i="38"/>
  <c r="K891" i="38"/>
  <c r="G883" i="38"/>
  <c r="G884" i="38"/>
  <c r="G885" i="38"/>
  <c r="G886" i="38"/>
  <c r="G887" i="38"/>
  <c r="G888" i="38"/>
  <c r="G889" i="38"/>
  <c r="G890" i="38"/>
  <c r="G891" i="38"/>
  <c r="J64" i="38"/>
  <c r="K64" i="38"/>
  <c r="J65" i="38"/>
  <c r="K65" i="38"/>
  <c r="J66" i="38"/>
  <c r="K66" i="38"/>
  <c r="J67" i="38"/>
  <c r="K67" i="38"/>
  <c r="J68" i="38"/>
  <c r="K68" i="38"/>
  <c r="J69" i="38"/>
  <c r="K69" i="38"/>
  <c r="J70" i="38"/>
  <c r="K70" i="38"/>
  <c r="J71" i="38"/>
  <c r="K71" i="38"/>
  <c r="J72" i="38"/>
  <c r="K72" i="38"/>
  <c r="J73" i="38"/>
  <c r="K73" i="38"/>
  <c r="J74" i="38"/>
  <c r="K74" i="38"/>
  <c r="J75" i="38"/>
  <c r="K75" i="38"/>
  <c r="J76" i="38"/>
  <c r="K76" i="38"/>
  <c r="J77" i="38"/>
  <c r="K77" i="38"/>
  <c r="J79" i="38"/>
  <c r="K79" i="38"/>
  <c r="J80" i="38"/>
  <c r="K80" i="38"/>
  <c r="J81" i="38"/>
  <c r="K81" i="38"/>
  <c r="G65" i="38"/>
  <c r="G66" i="38"/>
  <c r="G67" i="38"/>
  <c r="G68" i="38"/>
  <c r="G69" i="38"/>
  <c r="G70" i="38"/>
  <c r="G71" i="38"/>
  <c r="G72" i="38"/>
  <c r="G73" i="38"/>
  <c r="G74" i="38"/>
  <c r="G75" i="38"/>
  <c r="G76" i="38"/>
  <c r="G77" i="38"/>
  <c r="G78" i="38"/>
  <c r="G79" i="38"/>
  <c r="G80" i="38"/>
  <c r="G81" i="38"/>
  <c r="G64" i="38"/>
  <c r="J415" i="38"/>
  <c r="K415" i="38"/>
  <c r="J416" i="38"/>
  <c r="K416" i="38"/>
  <c r="J417" i="38"/>
  <c r="K417" i="38"/>
  <c r="J418" i="38"/>
  <c r="K418" i="38"/>
  <c r="J419" i="38"/>
  <c r="K419" i="38"/>
  <c r="G415" i="38"/>
  <c r="G416" i="38"/>
  <c r="G417" i="38"/>
  <c r="G418" i="38"/>
  <c r="G419" i="38"/>
  <c r="J407" i="38"/>
  <c r="K407" i="38"/>
  <c r="J408" i="38"/>
  <c r="K408" i="38"/>
  <c r="J409" i="38"/>
  <c r="K409" i="38"/>
  <c r="J410" i="38"/>
  <c r="K410" i="38"/>
  <c r="J411" i="38"/>
  <c r="K411" i="38"/>
  <c r="J412" i="38"/>
  <c r="K412" i="38"/>
  <c r="J413" i="38"/>
  <c r="K413" i="38"/>
  <c r="J414" i="38"/>
  <c r="K414" i="38"/>
  <c r="G407" i="38"/>
  <c r="G408" i="38"/>
  <c r="G409" i="38"/>
  <c r="G410" i="38"/>
  <c r="G411" i="38"/>
  <c r="G412" i="38"/>
  <c r="G413" i="38"/>
  <c r="G414" i="38"/>
  <c r="J892" i="38"/>
  <c r="K892" i="38"/>
  <c r="G892" i="38"/>
  <c r="J873" i="38"/>
  <c r="K873" i="38"/>
  <c r="J874" i="38"/>
  <c r="K874" i="38"/>
  <c r="J875" i="38"/>
  <c r="K875" i="38"/>
  <c r="J876" i="38"/>
  <c r="K876" i="38"/>
  <c r="J877" i="38"/>
  <c r="K877" i="38"/>
  <c r="J878" i="38"/>
  <c r="K878" i="38"/>
  <c r="J879" i="38"/>
  <c r="K879" i="38"/>
  <c r="J880" i="38"/>
  <c r="K880" i="38"/>
  <c r="J881" i="38"/>
  <c r="K881" i="38"/>
  <c r="J882" i="38"/>
  <c r="K882" i="38"/>
  <c r="G873" i="38"/>
  <c r="G874" i="38"/>
  <c r="G875" i="38"/>
  <c r="G876" i="38"/>
  <c r="G877" i="38"/>
  <c r="G878" i="38"/>
  <c r="G879" i="38"/>
  <c r="G880" i="38"/>
  <c r="G881" i="38"/>
  <c r="G882" i="38"/>
  <c r="J405" i="38"/>
  <c r="K405" i="38"/>
  <c r="J406" i="38"/>
  <c r="K406" i="38"/>
  <c r="G405" i="38"/>
  <c r="G406" i="38"/>
  <c r="J603" i="38"/>
  <c r="J604" i="38"/>
  <c r="K603" i="38"/>
  <c r="K604" i="38"/>
  <c r="G603" i="38"/>
  <c r="G604" i="38"/>
  <c r="J871" i="38"/>
  <c r="K871" i="38"/>
  <c r="J872" i="38"/>
  <c r="K872" i="38"/>
  <c r="G871" i="38"/>
  <c r="G872" i="38"/>
  <c r="J600" i="38"/>
  <c r="K600" i="38"/>
  <c r="J601" i="38"/>
  <c r="K601" i="38"/>
  <c r="J602" i="38"/>
  <c r="K602" i="38"/>
  <c r="G600" i="38"/>
  <c r="G601" i="38"/>
  <c r="G602" i="38"/>
  <c r="J235" i="38"/>
  <c r="K235" i="38"/>
  <c r="J236" i="38"/>
  <c r="K236" i="38"/>
  <c r="J237" i="38"/>
  <c r="K237" i="38"/>
  <c r="J239" i="38"/>
  <c r="K239" i="38"/>
  <c r="J240" i="38"/>
  <c r="K240" i="38"/>
  <c r="G235" i="38"/>
  <c r="G236" i="38"/>
  <c r="G237" i="38"/>
  <c r="G238" i="38"/>
  <c r="G239" i="38"/>
  <c r="G240" i="38"/>
  <c r="J865" i="38"/>
  <c r="K865" i="38"/>
  <c r="J866" i="38"/>
  <c r="K866" i="38"/>
  <c r="J867" i="38"/>
  <c r="K867" i="38"/>
  <c r="J868" i="38"/>
  <c r="K868" i="38"/>
  <c r="J869" i="38"/>
  <c r="K869" i="38"/>
  <c r="J870" i="38"/>
  <c r="K870" i="38"/>
  <c r="G865" i="38"/>
  <c r="G866" i="38"/>
  <c r="G867" i="38"/>
  <c r="G868" i="38"/>
  <c r="G869" i="38"/>
  <c r="G870" i="38"/>
  <c r="G63" i="38"/>
  <c r="J403" i="38"/>
  <c r="K403" i="38"/>
  <c r="J404" i="38"/>
  <c r="K404" i="38"/>
  <c r="G403" i="38"/>
  <c r="G404" i="38"/>
  <c r="J861" i="38"/>
  <c r="K861" i="38"/>
  <c r="J862" i="38"/>
  <c r="K862" i="38"/>
  <c r="G861" i="38"/>
  <c r="G862" i="38"/>
  <c r="J858" i="38"/>
  <c r="K858" i="38"/>
  <c r="J859" i="38"/>
  <c r="K859" i="38"/>
  <c r="J860" i="38"/>
  <c r="K860" i="38"/>
  <c r="J863" i="38"/>
  <c r="K863" i="38"/>
  <c r="J864" i="38"/>
  <c r="K864" i="38"/>
  <c r="G858" i="38"/>
  <c r="G859" i="38"/>
  <c r="G860" i="38"/>
  <c r="G863" i="38"/>
  <c r="G864" i="38"/>
  <c r="J401" i="38"/>
  <c r="K401" i="38"/>
  <c r="J402" i="38"/>
  <c r="K402" i="38"/>
  <c r="G401" i="38"/>
  <c r="G402" i="38"/>
  <c r="C25" i="46" l="1"/>
  <c r="G34" i="46"/>
  <c r="D34" i="46"/>
  <c r="F34" i="46"/>
  <c r="C16" i="46"/>
  <c r="O17" i="46"/>
  <c r="E34" i="46"/>
  <c r="J856" i="38"/>
  <c r="K856" i="38"/>
  <c r="J857" i="38"/>
  <c r="K857" i="38"/>
  <c r="G856" i="38"/>
  <c r="G857" i="38"/>
  <c r="J595" i="38"/>
  <c r="K595" i="38"/>
  <c r="J596" i="38"/>
  <c r="K596" i="38"/>
  <c r="J597" i="38"/>
  <c r="K597" i="38"/>
  <c r="J598" i="38"/>
  <c r="K598" i="38"/>
  <c r="J599" i="38"/>
  <c r="K599" i="38"/>
  <c r="G595" i="38"/>
  <c r="G596" i="38"/>
  <c r="G597" i="38"/>
  <c r="G598" i="38"/>
  <c r="G599" i="38"/>
  <c r="J852" i="38"/>
  <c r="K852" i="38"/>
  <c r="J853" i="38"/>
  <c r="K853" i="38"/>
  <c r="J854" i="38"/>
  <c r="K854" i="38"/>
  <c r="J855" i="38"/>
  <c r="K855" i="38"/>
  <c r="G852" i="38"/>
  <c r="G853" i="38"/>
  <c r="G854" i="38"/>
  <c r="G855" i="38"/>
  <c r="J232" i="38"/>
  <c r="K232" i="38"/>
  <c r="J233" i="38"/>
  <c r="K233" i="38"/>
  <c r="G234" i="38"/>
  <c r="J850" i="38"/>
  <c r="K850" i="38"/>
  <c r="J851" i="38"/>
  <c r="K851" i="38"/>
  <c r="G850" i="38"/>
  <c r="G851" i="38"/>
  <c r="J847" i="38"/>
  <c r="K847" i="38"/>
  <c r="J848" i="38"/>
  <c r="K848" i="38"/>
  <c r="J849" i="38"/>
  <c r="K849" i="38"/>
  <c r="G847" i="38"/>
  <c r="G848" i="38"/>
  <c r="G849" i="38"/>
  <c r="G232" i="38"/>
  <c r="G233" i="38"/>
  <c r="J844" i="38"/>
  <c r="K844" i="38"/>
  <c r="J845" i="38"/>
  <c r="K845" i="38"/>
  <c r="J846" i="38"/>
  <c r="K846" i="38"/>
  <c r="G844" i="38"/>
  <c r="G845" i="38"/>
  <c r="G846" i="38"/>
  <c r="J400" i="38"/>
  <c r="K400" i="38"/>
  <c r="G400" i="38"/>
  <c r="G231" i="38"/>
  <c r="J831" i="38"/>
  <c r="K831" i="38"/>
  <c r="G831" i="38"/>
  <c r="J832" i="38"/>
  <c r="K832" i="38"/>
  <c r="J833" i="38"/>
  <c r="K833" i="38"/>
  <c r="J834" i="38"/>
  <c r="K834" i="38"/>
  <c r="J835" i="38"/>
  <c r="K835" i="38"/>
  <c r="J836" i="38"/>
  <c r="K836" i="38"/>
  <c r="J837" i="38"/>
  <c r="K837" i="38"/>
  <c r="J838" i="38"/>
  <c r="K838" i="38"/>
  <c r="J839" i="38"/>
  <c r="K839" i="38"/>
  <c r="J840" i="38"/>
  <c r="K840" i="38"/>
  <c r="J841" i="38"/>
  <c r="K841" i="38"/>
  <c r="G840" i="38"/>
  <c r="G841" i="38"/>
  <c r="G838" i="38"/>
  <c r="G839" i="38"/>
  <c r="G832" i="38"/>
  <c r="G833" i="38"/>
  <c r="G834" i="38"/>
  <c r="G835" i="38"/>
  <c r="G836" i="38"/>
  <c r="G837" i="38"/>
  <c r="J827" i="38"/>
  <c r="K827" i="38"/>
  <c r="J828" i="38"/>
  <c r="K828" i="38"/>
  <c r="J829" i="38"/>
  <c r="K829" i="38"/>
  <c r="J830" i="38"/>
  <c r="K830" i="38"/>
  <c r="J842" i="38"/>
  <c r="K842" i="38"/>
  <c r="J843" i="38"/>
  <c r="K843" i="38"/>
  <c r="G827" i="38"/>
  <c r="G828" i="38"/>
  <c r="G829" i="38"/>
  <c r="G830" i="38"/>
  <c r="G842" i="38"/>
  <c r="G843" i="38"/>
  <c r="J398" i="38"/>
  <c r="K398" i="38"/>
  <c r="J399" i="38"/>
  <c r="K399" i="38"/>
  <c r="G398" i="38"/>
  <c r="G399" i="38"/>
  <c r="D21" i="44"/>
  <c r="Q37" i="42"/>
  <c r="Q38" i="42"/>
  <c r="J825" i="38"/>
  <c r="K825" i="38"/>
  <c r="J826" i="38"/>
  <c r="K826" i="38"/>
  <c r="G825" i="38"/>
  <c r="G826" i="38"/>
  <c r="C34" i="46" l="1"/>
  <c r="C35" i="46" s="1"/>
  <c r="D35" i="46" s="1"/>
  <c r="E35" i="46" s="1"/>
  <c r="F35" i="46" s="1"/>
  <c r="G35" i="46" s="1"/>
  <c r="H35" i="46" s="1"/>
  <c r="I35" i="46" s="1"/>
  <c r="J35" i="46" s="1"/>
  <c r="K35" i="46" s="1"/>
  <c r="L35" i="46" s="1"/>
  <c r="M35" i="46" s="1"/>
  <c r="N35" i="46" s="1"/>
  <c r="J397" i="38"/>
  <c r="K397" i="38"/>
  <c r="G397" i="38"/>
  <c r="J822" i="38"/>
  <c r="K822" i="38"/>
  <c r="J820" i="38"/>
  <c r="K820" i="38"/>
  <c r="J821" i="38"/>
  <c r="K821" i="38"/>
  <c r="J823" i="38"/>
  <c r="K823" i="38"/>
  <c r="J824" i="38"/>
  <c r="K824" i="38"/>
  <c r="G822" i="38"/>
  <c r="G820" i="38"/>
  <c r="G821" i="38"/>
  <c r="G823" i="38"/>
  <c r="G824" i="38"/>
  <c r="J395" i="38"/>
  <c r="K395" i="38"/>
  <c r="J396" i="38"/>
  <c r="K396" i="38"/>
  <c r="G395" i="38"/>
  <c r="G396" i="38"/>
  <c r="J819" i="38"/>
  <c r="K819" i="38"/>
  <c r="G819" i="38"/>
  <c r="J230" i="38"/>
  <c r="K230" i="38"/>
  <c r="J229" i="38"/>
  <c r="K229" i="38"/>
  <c r="G227" i="38"/>
  <c r="G230" i="38"/>
  <c r="G229" i="38"/>
  <c r="J223" i="38"/>
  <c r="K223" i="38"/>
  <c r="J224" i="38"/>
  <c r="K224" i="38"/>
  <c r="J225" i="38"/>
  <c r="K225" i="38"/>
  <c r="J226" i="38"/>
  <c r="K226" i="38"/>
  <c r="G226" i="38"/>
  <c r="G223" i="38"/>
  <c r="G224" i="38"/>
  <c r="G225" i="38"/>
  <c r="J61" i="38"/>
  <c r="K61" i="38"/>
  <c r="J62" i="38"/>
  <c r="K62" i="38"/>
  <c r="G61" i="38"/>
  <c r="G62" i="38"/>
  <c r="J392" i="38"/>
  <c r="K392" i="38"/>
  <c r="J393" i="38"/>
  <c r="K393" i="38"/>
  <c r="J394" i="38"/>
  <c r="K394" i="38"/>
  <c r="G392" i="38"/>
  <c r="G393" i="38"/>
  <c r="G394" i="38"/>
  <c r="J816" i="38"/>
  <c r="K816" i="38"/>
  <c r="J817" i="38"/>
  <c r="K817" i="38"/>
  <c r="J818" i="38"/>
  <c r="K818" i="38"/>
  <c r="G816" i="38"/>
  <c r="G817" i="38"/>
  <c r="G818" i="38"/>
  <c r="G389" i="38"/>
  <c r="G390" i="38"/>
  <c r="G391" i="38"/>
  <c r="J389" i="38"/>
  <c r="K389" i="38"/>
  <c r="J390" i="38"/>
  <c r="K390" i="38"/>
  <c r="J391" i="38"/>
  <c r="K391" i="38"/>
  <c r="J813" i="38"/>
  <c r="K813" i="38"/>
  <c r="J814" i="38"/>
  <c r="K814" i="38"/>
  <c r="J815" i="38"/>
  <c r="K815" i="38"/>
  <c r="G813" i="38"/>
  <c r="G814" i="38"/>
  <c r="G815" i="38"/>
  <c r="J215" i="38"/>
  <c r="K215" i="38"/>
  <c r="J218" i="38"/>
  <c r="K218" i="38"/>
  <c r="J219" i="38"/>
  <c r="K219" i="38"/>
  <c r="J220" i="38"/>
  <c r="K220" i="38"/>
  <c r="J221" i="38"/>
  <c r="K221" i="38"/>
  <c r="J222" i="38"/>
  <c r="K222" i="38"/>
  <c r="G215" i="38"/>
  <c r="G216" i="38"/>
  <c r="G217" i="38"/>
  <c r="G218" i="38"/>
  <c r="G219" i="38"/>
  <c r="G220" i="38"/>
  <c r="G221" i="38"/>
  <c r="G222" i="38"/>
  <c r="J387" i="38"/>
  <c r="K387" i="38"/>
  <c r="J388" i="38"/>
  <c r="K388" i="38"/>
  <c r="G387" i="38"/>
  <c r="G388" i="38"/>
  <c r="J808" i="38"/>
  <c r="K808" i="38"/>
  <c r="J809" i="38"/>
  <c r="K809" i="38"/>
  <c r="J810" i="38"/>
  <c r="K810" i="38"/>
  <c r="J811" i="38"/>
  <c r="K811" i="38"/>
  <c r="J812" i="38"/>
  <c r="K812" i="38"/>
  <c r="G808" i="38"/>
  <c r="G809" i="38"/>
  <c r="G810" i="38"/>
  <c r="G811" i="38"/>
  <c r="G812" i="38"/>
  <c r="J386" i="38"/>
  <c r="K386" i="38"/>
  <c r="G386" i="38"/>
  <c r="J802" i="38"/>
  <c r="K802" i="38"/>
  <c r="J803" i="38"/>
  <c r="K803" i="38"/>
  <c r="J804" i="38"/>
  <c r="K804" i="38"/>
  <c r="J805" i="38"/>
  <c r="K805" i="38"/>
  <c r="J806" i="38"/>
  <c r="K806" i="38"/>
  <c r="J807" i="38"/>
  <c r="K807" i="38"/>
  <c r="G802" i="38"/>
  <c r="G803" i="38"/>
  <c r="G804" i="38"/>
  <c r="G805" i="38"/>
  <c r="G806" i="38"/>
  <c r="G807" i="38"/>
  <c r="J208" i="38"/>
  <c r="K208" i="38"/>
  <c r="J210" i="38"/>
  <c r="K210" i="38"/>
  <c r="J211" i="38"/>
  <c r="K211" i="38"/>
  <c r="J212" i="38"/>
  <c r="K212" i="38"/>
  <c r="J213" i="38"/>
  <c r="K213" i="38"/>
  <c r="J214" i="38"/>
  <c r="K214" i="38"/>
  <c r="G208" i="38"/>
  <c r="G209" i="38"/>
  <c r="G210" i="38"/>
  <c r="G211" i="38"/>
  <c r="G212" i="38"/>
  <c r="G213" i="38"/>
  <c r="G214" i="38"/>
  <c r="J199" i="38"/>
  <c r="K199" i="38"/>
  <c r="J201" i="38"/>
  <c r="K201" i="38"/>
  <c r="J202" i="38"/>
  <c r="K202" i="38"/>
  <c r="J203" i="38"/>
  <c r="K203" i="38"/>
  <c r="J204" i="38"/>
  <c r="K204" i="38"/>
  <c r="J205" i="38"/>
  <c r="K205" i="38"/>
  <c r="J206" i="38"/>
  <c r="K206" i="38"/>
  <c r="J207" i="38"/>
  <c r="K207" i="38"/>
  <c r="G200" i="38"/>
  <c r="G201" i="38"/>
  <c r="G202" i="38"/>
  <c r="G203" i="38"/>
  <c r="G204" i="38"/>
  <c r="G205" i="38"/>
  <c r="G198" i="38"/>
  <c r="G199" i="38"/>
  <c r="G206" i="38"/>
  <c r="G207" i="38"/>
  <c r="J52" i="38"/>
  <c r="K52" i="38"/>
  <c r="J53" i="38"/>
  <c r="K53" i="38"/>
  <c r="J54" i="38"/>
  <c r="K54" i="38"/>
  <c r="J55" i="38"/>
  <c r="K55" i="38"/>
  <c r="J56" i="38"/>
  <c r="K56" i="38"/>
  <c r="J57" i="38"/>
  <c r="K57" i="38"/>
  <c r="J58" i="38"/>
  <c r="K58" i="38"/>
  <c r="J59" i="38"/>
  <c r="K59" i="38"/>
  <c r="J60" i="38"/>
  <c r="K60" i="38"/>
  <c r="G53" i="38"/>
  <c r="G54" i="38"/>
  <c r="G55" i="38"/>
  <c r="G56" i="38"/>
  <c r="G57" i="38"/>
  <c r="G58" i="38"/>
  <c r="G59" i="38"/>
  <c r="G60" i="38"/>
  <c r="G52" i="38"/>
  <c r="J374" i="38"/>
  <c r="K374" i="38"/>
  <c r="J375" i="38"/>
  <c r="K375" i="38"/>
  <c r="J376" i="38"/>
  <c r="K376" i="38"/>
  <c r="J377" i="38"/>
  <c r="K377" i="38"/>
  <c r="J378" i="38"/>
  <c r="K378" i="38"/>
  <c r="J379" i="38"/>
  <c r="K379" i="38"/>
  <c r="J380" i="38"/>
  <c r="K380" i="38"/>
  <c r="J381" i="38"/>
  <c r="K381" i="38"/>
  <c r="J382" i="38"/>
  <c r="K382" i="38"/>
  <c r="J383" i="38"/>
  <c r="K383" i="38"/>
  <c r="J384" i="38"/>
  <c r="K384" i="38"/>
  <c r="J385" i="38"/>
  <c r="K385" i="38"/>
  <c r="G374" i="38"/>
  <c r="G375" i="38"/>
  <c r="G376" i="38"/>
  <c r="G377" i="38"/>
  <c r="G378" i="38"/>
  <c r="G379" i="38"/>
  <c r="G380" i="38"/>
  <c r="G381" i="38"/>
  <c r="G382" i="38"/>
  <c r="G383" i="38"/>
  <c r="G384" i="38"/>
  <c r="G385" i="38"/>
  <c r="J790" i="38"/>
  <c r="K790" i="38"/>
  <c r="J791" i="38"/>
  <c r="K791" i="38"/>
  <c r="J792" i="38"/>
  <c r="K792" i="38"/>
  <c r="J793" i="38"/>
  <c r="K793" i="38"/>
  <c r="J794" i="38"/>
  <c r="K794" i="38"/>
  <c r="J795" i="38"/>
  <c r="K795" i="38"/>
  <c r="J796" i="38"/>
  <c r="K796" i="38"/>
  <c r="J797" i="38"/>
  <c r="K797" i="38"/>
  <c r="J798" i="38"/>
  <c r="K798" i="38"/>
  <c r="J799" i="38"/>
  <c r="K799" i="38"/>
  <c r="J800" i="38"/>
  <c r="K800" i="38"/>
  <c r="J801" i="38"/>
  <c r="K801" i="38"/>
  <c r="G790" i="38"/>
  <c r="G791" i="38"/>
  <c r="G792" i="38"/>
  <c r="G793" i="38"/>
  <c r="G794" i="38"/>
  <c r="G795" i="38"/>
  <c r="G796" i="38"/>
  <c r="G797" i="38"/>
  <c r="G798" i="38"/>
  <c r="G799" i="38"/>
  <c r="G800" i="38"/>
  <c r="G801" i="38"/>
  <c r="G30" i="45" l="1"/>
  <c r="G20" i="45"/>
  <c r="G22" i="45"/>
  <c r="G25" i="45"/>
  <c r="G37" i="45"/>
  <c r="G32" i="45"/>
  <c r="G31" i="45"/>
  <c r="G23" i="45"/>
  <c r="G36" i="45"/>
  <c r="G28" i="45"/>
  <c r="G33" i="45"/>
  <c r="G24" i="45"/>
  <c r="G38" i="45"/>
  <c r="G39" i="45"/>
  <c r="G29" i="45"/>
  <c r="F36" i="45"/>
  <c r="F30" i="45"/>
  <c r="F25" i="45"/>
  <c r="F21" i="45"/>
  <c r="F39" i="45"/>
  <c r="F24" i="45"/>
  <c r="F38" i="45"/>
  <c r="F32" i="45"/>
  <c r="F28" i="45"/>
  <c r="F23" i="45"/>
  <c r="F37" i="45"/>
  <c r="F31" i="45"/>
  <c r="F22" i="45"/>
  <c r="F19" i="45"/>
  <c r="F33" i="45"/>
  <c r="F29" i="45"/>
  <c r="F20" i="45"/>
  <c r="E29" i="45"/>
  <c r="E19" i="45"/>
  <c r="E27" i="45"/>
  <c r="E33" i="45"/>
  <c r="E22" i="45"/>
  <c r="C21" i="45"/>
  <c r="C19" i="45"/>
  <c r="E31" i="45"/>
  <c r="E25" i="45"/>
  <c r="E20" i="45"/>
  <c r="C32" i="45"/>
  <c r="E23" i="45"/>
  <c r="E30" i="45"/>
  <c r="C25" i="45"/>
  <c r="C31" i="45"/>
  <c r="C20" i="45"/>
  <c r="C30" i="45"/>
  <c r="E24" i="45"/>
  <c r="E32" i="45"/>
  <c r="E28" i="45"/>
  <c r="E21" i="45"/>
  <c r="C23" i="45"/>
  <c r="C27" i="45"/>
  <c r="C29" i="45"/>
  <c r="C22" i="45"/>
  <c r="C33" i="45"/>
  <c r="C28" i="45"/>
  <c r="C24" i="45"/>
  <c r="C39" i="45"/>
  <c r="C38" i="45"/>
  <c r="C37" i="45"/>
  <c r="C36" i="45"/>
  <c r="D38" i="45"/>
  <c r="D39" i="45"/>
  <c r="E39" i="45"/>
  <c r="E36" i="45"/>
  <c r="E37" i="45"/>
  <c r="E38" i="45"/>
  <c r="D36" i="45"/>
  <c r="D21" i="45"/>
  <c r="J789" i="38"/>
  <c r="K789" i="38"/>
  <c r="G789" i="38"/>
  <c r="J373" i="38"/>
  <c r="K373" i="38"/>
  <c r="G373" i="38"/>
  <c r="J786" i="38"/>
  <c r="K786" i="38"/>
  <c r="J787" i="38"/>
  <c r="K787" i="38"/>
  <c r="J788" i="38"/>
  <c r="K788" i="38"/>
  <c r="G786" i="38"/>
  <c r="G787" i="38"/>
  <c r="G788" i="38"/>
  <c r="J196" i="38"/>
  <c r="K196" i="38"/>
  <c r="J197" i="38"/>
  <c r="K197" i="38"/>
  <c r="G196" i="38"/>
  <c r="G197" i="38"/>
  <c r="K785" i="38"/>
  <c r="J785" i="38"/>
  <c r="K784" i="38"/>
  <c r="J784" i="38"/>
  <c r="K783" i="38"/>
  <c r="J783" i="38"/>
  <c r="G785" i="38"/>
  <c r="G784" i="38"/>
  <c r="G783" i="38"/>
  <c r="J593" i="38"/>
  <c r="K593" i="38"/>
  <c r="J594" i="38"/>
  <c r="K594" i="38"/>
  <c r="G593" i="38"/>
  <c r="G594" i="38"/>
  <c r="J782" i="38"/>
  <c r="K782" i="38"/>
  <c r="J778" i="38"/>
  <c r="K778" i="38"/>
  <c r="J779" i="38"/>
  <c r="K779" i="38"/>
  <c r="J780" i="38"/>
  <c r="K780" i="38"/>
  <c r="J781" i="38"/>
  <c r="K781" i="38"/>
  <c r="G778" i="38"/>
  <c r="G779" i="38"/>
  <c r="G780" i="38"/>
  <c r="G781" i="38"/>
  <c r="G782" i="38"/>
  <c r="J590" i="38"/>
  <c r="K590" i="38"/>
  <c r="J591" i="38"/>
  <c r="K591" i="38"/>
  <c r="J592" i="38"/>
  <c r="K592" i="38"/>
  <c r="G590" i="38"/>
  <c r="G591" i="38"/>
  <c r="G592" i="38"/>
  <c r="J371" i="38"/>
  <c r="K371" i="38"/>
  <c r="J372" i="38"/>
  <c r="K372" i="38"/>
  <c r="G371" i="38"/>
  <c r="G372" i="38"/>
  <c r="J773" i="38"/>
  <c r="K773" i="38"/>
  <c r="J774" i="38"/>
  <c r="K774" i="38"/>
  <c r="J775" i="38"/>
  <c r="K775" i="38"/>
  <c r="J776" i="38"/>
  <c r="K776" i="38"/>
  <c r="J777" i="38"/>
  <c r="K777" i="38"/>
  <c r="G773" i="38"/>
  <c r="G774" i="38"/>
  <c r="G775" i="38"/>
  <c r="G776" i="38"/>
  <c r="G777" i="38"/>
  <c r="D27" i="45"/>
  <c r="D28" i="45"/>
  <c r="D29" i="45"/>
  <c r="D30" i="45"/>
  <c r="D31" i="45"/>
  <c r="D32" i="45"/>
  <c r="D33" i="45"/>
  <c r="D24" i="45"/>
  <c r="J49" i="38"/>
  <c r="K49" i="38"/>
  <c r="J50" i="38"/>
  <c r="K50" i="38"/>
  <c r="J51" i="38"/>
  <c r="K51" i="38"/>
  <c r="G49" i="38"/>
  <c r="G50" i="38"/>
  <c r="G51" i="38"/>
  <c r="D23" i="45"/>
  <c r="D25" i="45"/>
  <c r="D22" i="45"/>
  <c r="D19" i="45"/>
  <c r="D20" i="45"/>
  <c r="J771" i="38"/>
  <c r="K771" i="38"/>
  <c r="J772" i="38"/>
  <c r="K772" i="38"/>
  <c r="G771" i="38"/>
  <c r="G772" i="38"/>
  <c r="J370" i="38"/>
  <c r="K370" i="38"/>
  <c r="G370" i="38"/>
  <c r="J48" i="38"/>
  <c r="K48" i="38"/>
  <c r="G48" i="38"/>
  <c r="J766" i="38"/>
  <c r="K766" i="38"/>
  <c r="J767" i="38"/>
  <c r="K767" i="38"/>
  <c r="J768" i="38"/>
  <c r="K768" i="38"/>
  <c r="J769" i="38"/>
  <c r="K769" i="38"/>
  <c r="J770" i="38"/>
  <c r="K770" i="38"/>
  <c r="G766" i="38"/>
  <c r="G767" i="38"/>
  <c r="G768" i="38"/>
  <c r="G769" i="38"/>
  <c r="G770" i="38"/>
  <c r="J194" i="38"/>
  <c r="K194" i="38"/>
  <c r="G194" i="38"/>
  <c r="J191" i="38"/>
  <c r="K191" i="38"/>
  <c r="J192" i="38"/>
  <c r="K192" i="38"/>
  <c r="J193" i="38"/>
  <c r="K193" i="38"/>
  <c r="G191" i="38"/>
  <c r="G192" i="38"/>
  <c r="G193" i="38"/>
  <c r="J228" i="38"/>
  <c r="K228" i="38"/>
  <c r="J189" i="38"/>
  <c r="K189" i="38"/>
  <c r="J190" i="38"/>
  <c r="K190" i="38"/>
  <c r="J195" i="38"/>
  <c r="K195" i="38"/>
  <c r="G228" i="38"/>
  <c r="G189" i="38"/>
  <c r="G190" i="38"/>
  <c r="G195" i="38"/>
  <c r="J755" i="38"/>
  <c r="K755" i="38"/>
  <c r="J756" i="38"/>
  <c r="K756" i="38"/>
  <c r="J757" i="38"/>
  <c r="K757" i="38"/>
  <c r="J758" i="38"/>
  <c r="K758" i="38"/>
  <c r="J759" i="38"/>
  <c r="K759" i="38"/>
  <c r="J760" i="38"/>
  <c r="K760" i="38"/>
  <c r="J761" i="38"/>
  <c r="K761" i="38"/>
  <c r="J762" i="38"/>
  <c r="K762" i="38"/>
  <c r="J763" i="38"/>
  <c r="K763" i="38"/>
  <c r="J764" i="38"/>
  <c r="K764" i="38"/>
  <c r="J765" i="38"/>
  <c r="K765" i="38"/>
  <c r="G755" i="38"/>
  <c r="G756" i="38"/>
  <c r="G757" i="38"/>
  <c r="G758" i="38"/>
  <c r="G759" i="38"/>
  <c r="G760" i="38"/>
  <c r="G761" i="38"/>
  <c r="G762" i="38"/>
  <c r="G763" i="38"/>
  <c r="G764" i="38"/>
  <c r="G765" i="38"/>
  <c r="V11" i="42"/>
  <c r="V14" i="42" s="1"/>
  <c r="V15" i="42" s="1"/>
  <c r="J47" i="38"/>
  <c r="K47" i="38"/>
  <c r="G47" i="38"/>
  <c r="J753" i="38"/>
  <c r="K753" i="38"/>
  <c r="J754" i="38"/>
  <c r="K754" i="38"/>
  <c r="G753" i="38"/>
  <c r="G754" i="38"/>
  <c r="J750" i="38"/>
  <c r="K750" i="38"/>
  <c r="J751" i="38"/>
  <c r="K751" i="38"/>
  <c r="J752" i="38"/>
  <c r="K752" i="38"/>
  <c r="G750" i="38"/>
  <c r="G751" i="38"/>
  <c r="G752" i="38"/>
  <c r="Q43" i="42"/>
  <c r="D22" i="44"/>
  <c r="J181" i="38"/>
  <c r="K181" i="38"/>
  <c r="J182" i="38"/>
  <c r="K182" i="38"/>
  <c r="J183" i="38"/>
  <c r="K183" i="38"/>
  <c r="J184" i="38"/>
  <c r="K184" i="38"/>
  <c r="J185" i="38"/>
  <c r="K185" i="38"/>
  <c r="J186" i="38"/>
  <c r="K186" i="38"/>
  <c r="J187" i="38"/>
  <c r="K187" i="38"/>
  <c r="J188" i="38"/>
  <c r="K188" i="38"/>
  <c r="G181" i="38"/>
  <c r="G182" i="38"/>
  <c r="G183" i="38"/>
  <c r="G184" i="38"/>
  <c r="G185" i="38"/>
  <c r="G186" i="38"/>
  <c r="G187" i="38"/>
  <c r="G188" i="38"/>
  <c r="K46" i="38"/>
  <c r="J46" i="38"/>
  <c r="J44" i="38"/>
  <c r="K44" i="38"/>
  <c r="J45" i="38"/>
  <c r="K45" i="38"/>
  <c r="G44" i="38"/>
  <c r="G45" i="38"/>
  <c r="G46" i="38"/>
  <c r="D16" i="45" l="1"/>
  <c r="E16" i="45"/>
  <c r="G16" i="45"/>
  <c r="F16" i="45"/>
  <c r="E35" i="45"/>
  <c r="C35" i="45"/>
  <c r="F35" i="45"/>
  <c r="G35" i="45"/>
  <c r="J749" i="38"/>
  <c r="K749" i="38"/>
  <c r="G749" i="38"/>
  <c r="J748" i="38"/>
  <c r="K748" i="38"/>
  <c r="G748" i="38"/>
  <c r="J179" i="38"/>
  <c r="K179" i="38"/>
  <c r="J180" i="38"/>
  <c r="K180" i="38"/>
  <c r="G179" i="38"/>
  <c r="G180" i="38"/>
  <c r="J38" i="38"/>
  <c r="K38" i="38"/>
  <c r="J39" i="38"/>
  <c r="K39" i="38"/>
  <c r="J40" i="38"/>
  <c r="K40" i="38"/>
  <c r="J41" i="38"/>
  <c r="K41" i="38"/>
  <c r="G39" i="38"/>
  <c r="G40" i="38"/>
  <c r="G41" i="38"/>
  <c r="G38" i="38"/>
  <c r="E42" i="38"/>
  <c r="K42" i="38"/>
  <c r="J43" i="38"/>
  <c r="K43" i="38"/>
  <c r="G43" i="38"/>
  <c r="J36" i="38"/>
  <c r="K36" i="38"/>
  <c r="J37" i="38"/>
  <c r="K37" i="38"/>
  <c r="G36" i="38"/>
  <c r="G37" i="38"/>
  <c r="J736" i="38"/>
  <c r="K736" i="38"/>
  <c r="J737" i="38"/>
  <c r="K737" i="38"/>
  <c r="J738" i="38"/>
  <c r="K738" i="38"/>
  <c r="J739" i="38"/>
  <c r="K739" i="38"/>
  <c r="J740" i="38"/>
  <c r="K740" i="38"/>
  <c r="J741" i="38"/>
  <c r="K741" i="38"/>
  <c r="J742" i="38"/>
  <c r="K742" i="38"/>
  <c r="J743" i="38"/>
  <c r="K743" i="38"/>
  <c r="J744" i="38"/>
  <c r="K744" i="38"/>
  <c r="J745" i="38"/>
  <c r="K745" i="38"/>
  <c r="J746" i="38"/>
  <c r="K746" i="38"/>
  <c r="J747" i="38"/>
  <c r="K747" i="38"/>
  <c r="G742" i="38"/>
  <c r="G743" i="38"/>
  <c r="G744" i="38"/>
  <c r="G745" i="38"/>
  <c r="G746" i="38"/>
  <c r="G747" i="38"/>
  <c r="G587" i="38"/>
  <c r="G588" i="38"/>
  <c r="G589" i="38"/>
  <c r="J587" i="38"/>
  <c r="K587" i="38"/>
  <c r="J588" i="38"/>
  <c r="K588" i="38"/>
  <c r="J589" i="38"/>
  <c r="K589" i="38"/>
  <c r="G741" i="38"/>
  <c r="J361" i="38"/>
  <c r="K361" i="38"/>
  <c r="J362" i="38"/>
  <c r="K362" i="38"/>
  <c r="J363" i="38"/>
  <c r="K363" i="38"/>
  <c r="J364" i="38"/>
  <c r="K364" i="38"/>
  <c r="J365" i="38"/>
  <c r="K365" i="38"/>
  <c r="J366" i="38"/>
  <c r="K366" i="38"/>
  <c r="J367" i="38"/>
  <c r="K367" i="38"/>
  <c r="J368" i="38"/>
  <c r="K368" i="38"/>
  <c r="J369" i="38"/>
  <c r="K369" i="38"/>
  <c r="G361" i="38"/>
  <c r="G362" i="38"/>
  <c r="G363" i="38"/>
  <c r="G364" i="38"/>
  <c r="G365" i="38"/>
  <c r="G366" i="38"/>
  <c r="G367" i="38"/>
  <c r="G368" i="38"/>
  <c r="G369" i="38"/>
  <c r="J26" i="38"/>
  <c r="K26" i="38"/>
  <c r="J27" i="38"/>
  <c r="K27" i="38"/>
  <c r="J28" i="38"/>
  <c r="K28" i="38"/>
  <c r="J29" i="38"/>
  <c r="K29" i="38"/>
  <c r="J30" i="38"/>
  <c r="K30" i="38"/>
  <c r="J31" i="38"/>
  <c r="K31" i="38"/>
  <c r="J32" i="38"/>
  <c r="K32" i="38"/>
  <c r="J33" i="38"/>
  <c r="K33" i="38"/>
  <c r="J34" i="38"/>
  <c r="K34" i="38"/>
  <c r="J35" i="38"/>
  <c r="K35" i="38"/>
  <c r="G26" i="38"/>
  <c r="G27" i="38"/>
  <c r="G28" i="38"/>
  <c r="G29" i="38"/>
  <c r="G30" i="38"/>
  <c r="G31" i="38"/>
  <c r="G32" i="38"/>
  <c r="G33" i="38"/>
  <c r="G34" i="38"/>
  <c r="G35" i="38"/>
  <c r="G739" i="38"/>
  <c r="G740" i="38"/>
  <c r="G737" i="38"/>
  <c r="G738" i="38"/>
  <c r="J173" i="38"/>
  <c r="K173" i="38"/>
  <c r="J174" i="38"/>
  <c r="K174" i="38"/>
  <c r="J175" i="38"/>
  <c r="K175" i="38"/>
  <c r="J176" i="38"/>
  <c r="K176" i="38"/>
  <c r="J177" i="38"/>
  <c r="K177" i="38"/>
  <c r="J178" i="38"/>
  <c r="K178" i="38"/>
  <c r="G173" i="38"/>
  <c r="G174" i="38"/>
  <c r="G175" i="38"/>
  <c r="G176" i="38"/>
  <c r="G177" i="38"/>
  <c r="G178" i="38"/>
  <c r="J734" i="38"/>
  <c r="K734" i="38"/>
  <c r="J735" i="38"/>
  <c r="K735" i="38"/>
  <c r="G734" i="38"/>
  <c r="G735" i="38"/>
  <c r="G736" i="38"/>
  <c r="P31" i="45"/>
  <c r="P28" i="45"/>
  <c r="P29" i="45"/>
  <c r="P30" i="45"/>
  <c r="P32" i="45"/>
  <c r="P33" i="45"/>
  <c r="S22" i="45"/>
  <c r="J42" i="38" l="1"/>
  <c r="Q44" i="42"/>
  <c r="G42" i="38"/>
  <c r="S28" i="45"/>
  <c r="S29" i="45"/>
  <c r="S30" i="45"/>
  <c r="S31" i="45"/>
  <c r="S32" i="45"/>
  <c r="S33" i="45"/>
  <c r="S27" i="45"/>
  <c r="S21" i="45" l="1"/>
  <c r="P21" i="45"/>
  <c r="P20" i="45"/>
  <c r="S20" i="45"/>
  <c r="S25" i="45"/>
  <c r="P25" i="45"/>
  <c r="R23" i="45" l="1"/>
  <c r="S23" i="45" s="1"/>
  <c r="R24" i="45"/>
  <c r="S24" i="45" s="1"/>
  <c r="S17" i="45"/>
  <c r="K156" i="38"/>
  <c r="D37" i="45"/>
  <c r="D35" i="45" s="1"/>
  <c r="J729" i="38" l="1"/>
  <c r="K729" i="38"/>
  <c r="J730" i="38"/>
  <c r="K730" i="38"/>
  <c r="J731" i="38"/>
  <c r="K731" i="38"/>
  <c r="J732" i="38"/>
  <c r="K732" i="38"/>
  <c r="J733" i="38"/>
  <c r="K733" i="38"/>
  <c r="G729" i="38"/>
  <c r="G730" i="38"/>
  <c r="G731" i="38"/>
  <c r="G732" i="38"/>
  <c r="G733" i="38"/>
  <c r="J582" i="38"/>
  <c r="K582" i="38"/>
  <c r="J583" i="38"/>
  <c r="K583" i="38"/>
  <c r="J584" i="38"/>
  <c r="K584" i="38"/>
  <c r="J585" i="38"/>
  <c r="K585" i="38"/>
  <c r="J586" i="38"/>
  <c r="K586" i="38"/>
  <c r="G582" i="38"/>
  <c r="G583" i="38"/>
  <c r="G584" i="38"/>
  <c r="G585" i="38"/>
  <c r="G586" i="38"/>
  <c r="J728" i="38"/>
  <c r="K728" i="38"/>
  <c r="G728" i="38"/>
  <c r="D27" i="44"/>
  <c r="D26" i="44"/>
  <c r="Q41" i="42"/>
  <c r="Q40" i="42"/>
  <c r="D25" i="44"/>
  <c r="Q39" i="42"/>
  <c r="Q36" i="42" l="1"/>
  <c r="J22" i="38"/>
  <c r="K22" i="38"/>
  <c r="J23" i="38"/>
  <c r="K23" i="38"/>
  <c r="J24" i="38"/>
  <c r="K24" i="38"/>
  <c r="J25" i="38"/>
  <c r="K25" i="38"/>
  <c r="G22" i="38"/>
  <c r="G23" i="38"/>
  <c r="G24" i="38"/>
  <c r="G25" i="38"/>
  <c r="J727" i="38"/>
  <c r="K727" i="38"/>
  <c r="G727" i="38"/>
  <c r="J16" i="45"/>
  <c r="K16" i="45"/>
  <c r="L16" i="45"/>
  <c r="M16" i="45"/>
  <c r="N16" i="45"/>
  <c r="J171" i="38"/>
  <c r="K171" i="38"/>
  <c r="J172" i="38"/>
  <c r="K172" i="38"/>
  <c r="G171" i="38"/>
  <c r="G172" i="38"/>
  <c r="J723" i="38"/>
  <c r="K723" i="38"/>
  <c r="J724" i="38"/>
  <c r="K724" i="38"/>
  <c r="J725" i="38"/>
  <c r="K725" i="38"/>
  <c r="J726" i="38"/>
  <c r="K726" i="38"/>
  <c r="G723" i="38"/>
  <c r="G724" i="38"/>
  <c r="G725" i="38"/>
  <c r="G726" i="38"/>
  <c r="G5" i="38"/>
  <c r="G6" i="38"/>
  <c r="G7" i="38"/>
  <c r="G8" i="38"/>
  <c r="G9" i="38"/>
  <c r="G10" i="38"/>
  <c r="G11" i="38"/>
  <c r="G12" i="38"/>
  <c r="G13" i="38"/>
  <c r="G14" i="38"/>
  <c r="G16" i="38"/>
  <c r="G17" i="38"/>
  <c r="G18" i="38"/>
  <c r="G19" i="38"/>
  <c r="G20" i="38"/>
  <c r="G21" i="38"/>
  <c r="G155" i="38"/>
  <c r="G156" i="38"/>
  <c r="G157" i="38"/>
  <c r="G158" i="38"/>
  <c r="G159" i="38"/>
  <c r="G160" i="38"/>
  <c r="G161" i="38"/>
  <c r="G162" i="38"/>
  <c r="G163" i="38"/>
  <c r="G164" i="38"/>
  <c r="G165" i="38"/>
  <c r="G166" i="38"/>
  <c r="G167" i="38"/>
  <c r="G168" i="38"/>
  <c r="G169" i="38"/>
  <c r="G170" i="38"/>
  <c r="G345" i="38"/>
  <c r="G346" i="38"/>
  <c r="G347" i="38"/>
  <c r="G348" i="38"/>
  <c r="G349" i="38"/>
  <c r="G350" i="38"/>
  <c r="G351" i="38"/>
  <c r="G352" i="38"/>
  <c r="G353" i="38"/>
  <c r="G354" i="38"/>
  <c r="G355" i="38"/>
  <c r="G356" i="38"/>
  <c r="G357" i="38"/>
  <c r="G358" i="38"/>
  <c r="G359" i="38"/>
  <c r="G360" i="38"/>
  <c r="G575" i="38"/>
  <c r="G576" i="38"/>
  <c r="G577" i="38"/>
  <c r="G578" i="38"/>
  <c r="G579" i="38"/>
  <c r="G580" i="38"/>
  <c r="G581" i="38"/>
  <c r="G638" i="38"/>
  <c r="G639" i="38"/>
  <c r="G640" i="38"/>
  <c r="G641" i="38"/>
  <c r="G642" i="38"/>
  <c r="G643" i="38"/>
  <c r="G644" i="38"/>
  <c r="G645" i="38"/>
  <c r="G646" i="38"/>
  <c r="G647" i="38"/>
  <c r="G648" i="38"/>
  <c r="G649" i="38"/>
  <c r="G650" i="38"/>
  <c r="G651" i="38"/>
  <c r="G652" i="38"/>
  <c r="G653" i="38"/>
  <c r="G654" i="38"/>
  <c r="G655" i="38"/>
  <c r="G656" i="38"/>
  <c r="G657" i="38"/>
  <c r="G658" i="38"/>
  <c r="G659" i="38"/>
  <c r="G660" i="38"/>
  <c r="G661" i="38"/>
  <c r="G662" i="38"/>
  <c r="G663" i="38"/>
  <c r="G664" i="38"/>
  <c r="G665" i="38"/>
  <c r="G666" i="38"/>
  <c r="G667" i="38"/>
  <c r="G668" i="38"/>
  <c r="G669" i="38"/>
  <c r="G670" i="38"/>
  <c r="G671" i="38"/>
  <c r="G672" i="38"/>
  <c r="G673" i="38"/>
  <c r="G674" i="38"/>
  <c r="G675" i="38"/>
  <c r="G676" i="38"/>
  <c r="G677" i="38"/>
  <c r="G678" i="38"/>
  <c r="G679" i="38"/>
  <c r="G680" i="38"/>
  <c r="G681" i="38"/>
  <c r="G682" i="38"/>
  <c r="G683" i="38"/>
  <c r="G684" i="38"/>
  <c r="G685" i="38"/>
  <c r="G686" i="38"/>
  <c r="G687" i="38"/>
  <c r="G688" i="38"/>
  <c r="G689" i="38"/>
  <c r="G690" i="38"/>
  <c r="G691" i="38"/>
  <c r="G692" i="38"/>
  <c r="G693" i="38"/>
  <c r="G694" i="38"/>
  <c r="G695" i="38"/>
  <c r="G696" i="38"/>
  <c r="G697" i="38"/>
  <c r="G698" i="38"/>
  <c r="G699" i="38"/>
  <c r="G700" i="38"/>
  <c r="G701" i="38"/>
  <c r="G702" i="38"/>
  <c r="G703" i="38"/>
  <c r="G704" i="38"/>
  <c r="G705" i="38"/>
  <c r="G706" i="38"/>
  <c r="G707" i="38"/>
  <c r="G708" i="38"/>
  <c r="G709" i="38"/>
  <c r="G710" i="38"/>
  <c r="G711" i="38"/>
  <c r="G712" i="38"/>
  <c r="G713" i="38"/>
  <c r="G714" i="38"/>
  <c r="G715" i="38"/>
  <c r="G716" i="38"/>
  <c r="G717" i="38"/>
  <c r="G718" i="38"/>
  <c r="G719" i="38"/>
  <c r="G720" i="38"/>
  <c r="G721" i="38"/>
  <c r="G722" i="38"/>
  <c r="G4" i="38"/>
  <c r="J170" i="38"/>
  <c r="K170" i="38"/>
  <c r="J716" i="38"/>
  <c r="K716" i="38"/>
  <c r="J717" i="38"/>
  <c r="K717" i="38"/>
  <c r="J715" i="38"/>
  <c r="K715" i="38"/>
  <c r="J718" i="38"/>
  <c r="K718" i="38"/>
  <c r="J719" i="38"/>
  <c r="K719" i="38"/>
  <c r="J720" i="38"/>
  <c r="K720" i="38"/>
  <c r="J721" i="38"/>
  <c r="K721" i="38"/>
  <c r="J722" i="38"/>
  <c r="K722" i="38"/>
  <c r="K166" i="38"/>
  <c r="K167" i="38"/>
  <c r="K168" i="38"/>
  <c r="K169" i="38"/>
  <c r="J166" i="38"/>
  <c r="J167" i="38"/>
  <c r="J168" i="38"/>
  <c r="J169" i="38"/>
  <c r="J41" i="45" l="1"/>
  <c r="N41" i="45"/>
  <c r="M41" i="45"/>
  <c r="H41" i="45"/>
  <c r="L41" i="45"/>
  <c r="K41" i="45"/>
  <c r="G41" i="45"/>
  <c r="F41" i="45"/>
  <c r="D41" i="45"/>
  <c r="J712" i="38"/>
  <c r="K712" i="38"/>
  <c r="J713" i="38"/>
  <c r="K713" i="38"/>
  <c r="J714" i="38"/>
  <c r="K714" i="38"/>
  <c r="O57" i="45"/>
  <c r="O49" i="45"/>
  <c r="D61" i="45"/>
  <c r="E61" i="45"/>
  <c r="F61" i="45"/>
  <c r="G61" i="45"/>
  <c r="H61" i="45"/>
  <c r="I61" i="45"/>
  <c r="J61" i="45"/>
  <c r="K61" i="45"/>
  <c r="L61" i="45"/>
  <c r="M61" i="45"/>
  <c r="N61" i="45"/>
  <c r="D60" i="45"/>
  <c r="E60" i="45"/>
  <c r="F60" i="45"/>
  <c r="G60" i="45"/>
  <c r="H60" i="45"/>
  <c r="I60" i="45"/>
  <c r="J60" i="45"/>
  <c r="K60" i="45"/>
  <c r="L60" i="45"/>
  <c r="M60" i="45"/>
  <c r="N60" i="45"/>
  <c r="D59" i="45"/>
  <c r="E59" i="45"/>
  <c r="F59" i="45"/>
  <c r="G59" i="45"/>
  <c r="H59" i="45"/>
  <c r="I59" i="45"/>
  <c r="J59" i="45"/>
  <c r="K59" i="45"/>
  <c r="L59" i="45"/>
  <c r="M59" i="45"/>
  <c r="N59" i="45"/>
  <c r="D58" i="45"/>
  <c r="E58" i="45"/>
  <c r="F58" i="45"/>
  <c r="G58" i="45"/>
  <c r="H58" i="45"/>
  <c r="I58" i="45"/>
  <c r="J58" i="45"/>
  <c r="K58" i="45"/>
  <c r="L58" i="45"/>
  <c r="M58" i="45"/>
  <c r="N58" i="45"/>
  <c r="C58" i="45"/>
  <c r="D56" i="45"/>
  <c r="E56" i="45"/>
  <c r="F56" i="45"/>
  <c r="G56" i="45"/>
  <c r="H56" i="45"/>
  <c r="I56" i="45"/>
  <c r="J56" i="45"/>
  <c r="K56" i="45"/>
  <c r="L56" i="45"/>
  <c r="M56" i="45"/>
  <c r="N56" i="45"/>
  <c r="D55" i="45"/>
  <c r="E55" i="45"/>
  <c r="F55" i="45"/>
  <c r="G55" i="45"/>
  <c r="H55" i="45"/>
  <c r="I55" i="45"/>
  <c r="J55" i="45"/>
  <c r="K55" i="45"/>
  <c r="L55" i="45"/>
  <c r="M55" i="45"/>
  <c r="N55" i="45"/>
  <c r="D52" i="45"/>
  <c r="E52" i="45"/>
  <c r="F52" i="45"/>
  <c r="G52" i="45"/>
  <c r="H52" i="45"/>
  <c r="I52" i="45"/>
  <c r="J52" i="45"/>
  <c r="K52" i="45"/>
  <c r="L52" i="45"/>
  <c r="M52" i="45"/>
  <c r="N52" i="45"/>
  <c r="D51" i="45"/>
  <c r="E51" i="45"/>
  <c r="F51" i="45"/>
  <c r="G51" i="45"/>
  <c r="H51" i="45"/>
  <c r="I51" i="45"/>
  <c r="J51" i="45"/>
  <c r="K51" i="45"/>
  <c r="L51" i="45"/>
  <c r="M51" i="45"/>
  <c r="N51" i="45"/>
  <c r="J50" i="45"/>
  <c r="K50" i="45"/>
  <c r="L50" i="45"/>
  <c r="M50" i="45"/>
  <c r="N50" i="45"/>
  <c r="I50" i="45"/>
  <c r="D50" i="45"/>
  <c r="E50" i="45"/>
  <c r="F50" i="45"/>
  <c r="G50" i="45"/>
  <c r="H50" i="45"/>
  <c r="C50" i="45"/>
  <c r="P19" i="45"/>
  <c r="R19" i="45" l="1"/>
  <c r="S19" i="45" s="1"/>
  <c r="O58" i="45"/>
  <c r="O50" i="45"/>
  <c r="J711" i="38"/>
  <c r="K711" i="38"/>
  <c r="J699" i="38"/>
  <c r="K699" i="38"/>
  <c r="J700" i="38"/>
  <c r="K700" i="38"/>
  <c r="J701" i="38"/>
  <c r="K701" i="38"/>
  <c r="J702" i="38"/>
  <c r="K702" i="38"/>
  <c r="J703" i="38"/>
  <c r="K703" i="38"/>
  <c r="J704" i="38"/>
  <c r="K704" i="38"/>
  <c r="J705" i="38"/>
  <c r="K705" i="38"/>
  <c r="J706" i="38"/>
  <c r="K706" i="38"/>
  <c r="J707" i="38"/>
  <c r="K707" i="38"/>
  <c r="J708" i="38"/>
  <c r="K708" i="38"/>
  <c r="J709" i="38"/>
  <c r="K709" i="38"/>
  <c r="J710" i="38"/>
  <c r="K710" i="38"/>
  <c r="J21" i="38"/>
  <c r="K21" i="38"/>
  <c r="D48" i="45"/>
  <c r="E48" i="45"/>
  <c r="F48" i="45"/>
  <c r="G48" i="45"/>
  <c r="H48" i="45"/>
  <c r="I48" i="45"/>
  <c r="J48" i="45"/>
  <c r="K48" i="45"/>
  <c r="L48" i="45"/>
  <c r="M48" i="45"/>
  <c r="N48" i="45"/>
  <c r="D47" i="45"/>
  <c r="E47" i="45"/>
  <c r="F47" i="45"/>
  <c r="G47" i="45"/>
  <c r="H47" i="45"/>
  <c r="I47" i="45"/>
  <c r="J47" i="45"/>
  <c r="K47" i="45"/>
  <c r="L47" i="45"/>
  <c r="M47" i="45"/>
  <c r="N47" i="45"/>
  <c r="N46" i="45"/>
  <c r="D46" i="45"/>
  <c r="E46" i="45"/>
  <c r="F46" i="45"/>
  <c r="G46" i="45"/>
  <c r="H46" i="45"/>
  <c r="I46" i="45"/>
  <c r="J46" i="45"/>
  <c r="K46" i="45"/>
  <c r="L46" i="45"/>
  <c r="M46" i="45"/>
  <c r="N45" i="45"/>
  <c r="D45" i="45"/>
  <c r="F45" i="45"/>
  <c r="G45" i="45"/>
  <c r="H45" i="45"/>
  <c r="I45" i="45"/>
  <c r="J45" i="45"/>
  <c r="K45" i="45"/>
  <c r="L45" i="45"/>
  <c r="M45" i="45"/>
  <c r="O31" i="45"/>
  <c r="O22" i="45"/>
  <c r="Q32" i="42"/>
  <c r="Q22" i="45" l="1"/>
  <c r="Q31" i="45"/>
  <c r="O39" i="45"/>
  <c r="Q39" i="45" s="1"/>
  <c r="C61" i="45"/>
  <c r="O61" i="45" s="1"/>
  <c r="C51" i="45"/>
  <c r="O51" i="45" s="1"/>
  <c r="O28" i="45"/>
  <c r="O20" i="45"/>
  <c r="C60" i="45"/>
  <c r="O60" i="45" s="1"/>
  <c r="C46" i="45" l="1"/>
  <c r="O46" i="45" s="1"/>
  <c r="Q28" i="45"/>
  <c r="O33" i="45"/>
  <c r="C59" i="45"/>
  <c r="O59" i="45" s="1"/>
  <c r="C47" i="45"/>
  <c r="O47" i="45" s="1"/>
  <c r="O21" i="45"/>
  <c r="C48" i="45"/>
  <c r="O48" i="45" s="1"/>
  <c r="O30" i="45"/>
  <c r="O24" i="45"/>
  <c r="O25" i="45"/>
  <c r="O19" i="45"/>
  <c r="O32" i="45"/>
  <c r="O27" i="45"/>
  <c r="Q32" i="45" l="1"/>
  <c r="Q19" i="45"/>
  <c r="Q30" i="45"/>
  <c r="Q20" i="45"/>
  <c r="Q25" i="45"/>
  <c r="Q24" i="45"/>
  <c r="Q21" i="45"/>
  <c r="Q33" i="45"/>
  <c r="O38" i="45"/>
  <c r="Q38" i="45" s="1"/>
  <c r="O37" i="45"/>
  <c r="Q37" i="45" s="1"/>
  <c r="C52" i="45"/>
  <c r="O52" i="45" s="1"/>
  <c r="J163" i="38"/>
  <c r="K163" i="38"/>
  <c r="J164" i="38"/>
  <c r="K164" i="38"/>
  <c r="O36" i="45" l="1"/>
  <c r="O35" i="45" s="1"/>
  <c r="C55" i="45"/>
  <c r="O55" i="45" s="1"/>
  <c r="C56" i="45"/>
  <c r="O56" i="45" s="1"/>
  <c r="O29" i="45"/>
  <c r="O23" i="45"/>
  <c r="E15" i="38"/>
  <c r="J16" i="38"/>
  <c r="K16" i="38"/>
  <c r="J17" i="38"/>
  <c r="K17" i="38"/>
  <c r="K15" i="38"/>
  <c r="J18" i="38"/>
  <c r="K18" i="38"/>
  <c r="J19" i="38"/>
  <c r="K19" i="38"/>
  <c r="J20" i="38"/>
  <c r="K20" i="38"/>
  <c r="J693" i="38"/>
  <c r="K693" i="38"/>
  <c r="J694" i="38"/>
  <c r="K694" i="38"/>
  <c r="J695" i="38"/>
  <c r="K695" i="38"/>
  <c r="J696" i="38"/>
  <c r="K696" i="38"/>
  <c r="J697" i="38"/>
  <c r="K697" i="38"/>
  <c r="J698" i="38"/>
  <c r="K698" i="38"/>
  <c r="J14" i="38"/>
  <c r="K14" i="38"/>
  <c r="J687" i="38"/>
  <c r="K687" i="38"/>
  <c r="J688" i="38"/>
  <c r="K688" i="38"/>
  <c r="J689" i="38"/>
  <c r="K689" i="38"/>
  <c r="J690" i="38"/>
  <c r="K690" i="38"/>
  <c r="J691" i="38"/>
  <c r="K691" i="38"/>
  <c r="J692" i="38"/>
  <c r="K692" i="38"/>
  <c r="J359" i="38"/>
  <c r="K359" i="38"/>
  <c r="J360" i="38"/>
  <c r="K360" i="38"/>
  <c r="K13" i="38"/>
  <c r="J13" i="38"/>
  <c r="J679" i="38"/>
  <c r="K679" i="38"/>
  <c r="J680" i="38"/>
  <c r="K680" i="38"/>
  <c r="J681" i="38"/>
  <c r="K681" i="38"/>
  <c r="J682" i="38"/>
  <c r="K682" i="38"/>
  <c r="J683" i="38"/>
  <c r="K683" i="38"/>
  <c r="J684" i="38"/>
  <c r="K684" i="38"/>
  <c r="J685" i="38"/>
  <c r="K685" i="38"/>
  <c r="J686" i="38"/>
  <c r="K686" i="38"/>
  <c r="K19" i="42"/>
  <c r="K678" i="38"/>
  <c r="J678" i="38"/>
  <c r="K677" i="38"/>
  <c r="J676" i="38"/>
  <c r="J677" i="38"/>
  <c r="I16" i="44"/>
  <c r="I19" i="44" s="1"/>
  <c r="D28" i="44"/>
  <c r="G23" i="44"/>
  <c r="B20" i="44"/>
  <c r="B23" i="44"/>
  <c r="C23" i="44"/>
  <c r="E23" i="44"/>
  <c r="F23" i="44"/>
  <c r="H23" i="44"/>
  <c r="I23" i="44"/>
  <c r="J23" i="44"/>
  <c r="D24" i="44"/>
  <c r="F16" i="44"/>
  <c r="E19" i="44"/>
  <c r="G14" i="44"/>
  <c r="H14" i="44" s="1"/>
  <c r="J14" i="44" s="1"/>
  <c r="K14" i="44" s="1"/>
  <c r="C20" i="44"/>
  <c r="D20" i="44"/>
  <c r="K20" i="44" s="1"/>
  <c r="E20" i="44"/>
  <c r="F20" i="44"/>
  <c r="G20" i="44"/>
  <c r="H20" i="44"/>
  <c r="H29" i="44" s="1"/>
  <c r="I20" i="44"/>
  <c r="I29" i="44" s="1"/>
  <c r="J20" i="44"/>
  <c r="J29" i="44" s="1"/>
  <c r="B16" i="44"/>
  <c r="B19" i="44" s="1"/>
  <c r="C16" i="44"/>
  <c r="C19" i="44" s="1"/>
  <c r="D16" i="44"/>
  <c r="D19" i="44" s="1"/>
  <c r="J358" i="38"/>
  <c r="K358" i="38"/>
  <c r="J673" i="38"/>
  <c r="K673" i="38"/>
  <c r="J674" i="38"/>
  <c r="K674" i="38"/>
  <c r="J675" i="38"/>
  <c r="K675" i="38"/>
  <c r="K676" i="38"/>
  <c r="J356" i="38"/>
  <c r="K356" i="38"/>
  <c r="J357" i="38"/>
  <c r="K357" i="38"/>
  <c r="J672" i="38"/>
  <c r="K672" i="38"/>
  <c r="J670" i="38"/>
  <c r="K670" i="38"/>
  <c r="J671" i="38"/>
  <c r="K671" i="38"/>
  <c r="J11" i="38"/>
  <c r="K11" i="38"/>
  <c r="J12" i="38"/>
  <c r="K12" i="38"/>
  <c r="J10" i="38"/>
  <c r="K10" i="38"/>
  <c r="J354" i="38"/>
  <c r="K354" i="38"/>
  <c r="J355" i="38"/>
  <c r="K355" i="38"/>
  <c r="K665" i="38"/>
  <c r="K666" i="38"/>
  <c r="K667" i="38"/>
  <c r="K668" i="38"/>
  <c r="K669" i="38"/>
  <c r="J665" i="38"/>
  <c r="J666" i="38"/>
  <c r="J667" i="38"/>
  <c r="J668" i="38"/>
  <c r="J669" i="38"/>
  <c r="J6" i="38"/>
  <c r="J7" i="38"/>
  <c r="J8" i="38"/>
  <c r="J9" i="38"/>
  <c r="K6" i="38"/>
  <c r="K7" i="38"/>
  <c r="K8" i="38"/>
  <c r="K9" i="38"/>
  <c r="K577" i="38"/>
  <c r="K578" i="38"/>
  <c r="K579" i="38"/>
  <c r="K580" i="38"/>
  <c r="K581" i="38"/>
  <c r="J577" i="38"/>
  <c r="J578" i="38"/>
  <c r="J579" i="38"/>
  <c r="J580" i="38"/>
  <c r="J581" i="38"/>
  <c r="K659" i="38"/>
  <c r="K660" i="38"/>
  <c r="K661" i="38"/>
  <c r="K662" i="38"/>
  <c r="K663" i="38"/>
  <c r="K664" i="38"/>
  <c r="J659" i="38"/>
  <c r="J660" i="38"/>
  <c r="J661" i="38"/>
  <c r="J662" i="38"/>
  <c r="J663" i="38"/>
  <c r="J664" i="38"/>
  <c r="K657" i="38"/>
  <c r="K658" i="38"/>
  <c r="J657" i="38"/>
  <c r="J658" i="38"/>
  <c r="Q35" i="45" l="1"/>
  <c r="Q36" i="45"/>
  <c r="C17" i="45"/>
  <c r="E2" i="38"/>
  <c r="B29" i="44"/>
  <c r="F29" i="44"/>
  <c r="B31" i="44"/>
  <c r="K7" i="42"/>
  <c r="X11" i="42"/>
  <c r="X12" i="42" s="1"/>
  <c r="W11" i="42"/>
  <c r="Q23" i="45"/>
  <c r="Q29" i="45"/>
  <c r="E29" i="44"/>
  <c r="E31" i="44" s="1"/>
  <c r="C29" i="44"/>
  <c r="C31" i="44" s="1"/>
  <c r="I31" i="44"/>
  <c r="G15" i="38"/>
  <c r="J15" i="38"/>
  <c r="G16" i="44"/>
  <c r="D23" i="44"/>
  <c r="Q4" i="42"/>
  <c r="L17" i="42"/>
  <c r="M17" i="42"/>
  <c r="L4" i="42"/>
  <c r="M4" i="42"/>
  <c r="S36" i="42"/>
  <c r="R36" i="42"/>
  <c r="S24" i="42"/>
  <c r="R24" i="42"/>
  <c r="S4" i="42"/>
  <c r="M51" i="42" s="1"/>
  <c r="R4" i="42"/>
  <c r="L51" i="42" s="1"/>
  <c r="Q24" i="42"/>
  <c r="K18" i="42"/>
  <c r="K17" i="42" s="1"/>
  <c r="K4" i="38"/>
  <c r="K5" i="38"/>
  <c r="J4" i="38"/>
  <c r="J5" i="38"/>
  <c r="K574" i="38"/>
  <c r="K575" i="38"/>
  <c r="K576" i="38"/>
  <c r="J574" i="38"/>
  <c r="J575" i="38"/>
  <c r="J576" i="38"/>
  <c r="K652" i="38"/>
  <c r="K653" i="38"/>
  <c r="K654" i="38"/>
  <c r="K655" i="38"/>
  <c r="K656" i="38"/>
  <c r="K345" i="38"/>
  <c r="K638" i="38"/>
  <c r="K639" i="38"/>
  <c r="K640" i="38"/>
  <c r="K641" i="38"/>
  <c r="K642" i="38"/>
  <c r="K643" i="38"/>
  <c r="K644" i="38"/>
  <c r="K645" i="38"/>
  <c r="K646" i="38"/>
  <c r="K647" i="38"/>
  <c r="K648" i="38"/>
  <c r="K649" i="38"/>
  <c r="K650" i="38"/>
  <c r="K651" i="38"/>
  <c r="K157" i="38"/>
  <c r="K158" i="38"/>
  <c r="K159" i="38"/>
  <c r="K160" i="38"/>
  <c r="K161" i="38"/>
  <c r="K162" i="38"/>
  <c r="K353" i="38"/>
  <c r="K352" i="38"/>
  <c r="K351" i="38"/>
  <c r="K350" i="38"/>
  <c r="K349" i="38"/>
  <c r="K348" i="38"/>
  <c r="K347" i="38"/>
  <c r="K346" i="38"/>
  <c r="J352" i="38"/>
  <c r="J351" i="38"/>
  <c r="J350" i="38"/>
  <c r="J349" i="38"/>
  <c r="J348" i="38"/>
  <c r="J347" i="38"/>
  <c r="J346" i="38"/>
  <c r="J345" i="38"/>
  <c r="J638" i="38"/>
  <c r="J639" i="38"/>
  <c r="J640" i="38"/>
  <c r="J641" i="38"/>
  <c r="J642" i="38"/>
  <c r="J643" i="38"/>
  <c r="J644" i="38"/>
  <c r="J645" i="38"/>
  <c r="J646" i="38"/>
  <c r="J647" i="38"/>
  <c r="J648" i="38"/>
  <c r="J649" i="38"/>
  <c r="J650" i="38"/>
  <c r="J651" i="38"/>
  <c r="J652" i="38"/>
  <c r="J653" i="38"/>
  <c r="J654" i="38"/>
  <c r="J655" i="38"/>
  <c r="J656" i="38"/>
  <c r="J157" i="38"/>
  <c r="J158" i="38"/>
  <c r="J159" i="38"/>
  <c r="J160" i="38"/>
  <c r="J161" i="38"/>
  <c r="J162" i="38"/>
  <c r="J353" i="38"/>
  <c r="J156" i="38"/>
  <c r="K9" i="42"/>
  <c r="K12" i="42"/>
  <c r="C16" i="45" l="1"/>
  <c r="C41" i="45" s="1"/>
  <c r="F17" i="44"/>
  <c r="G17" i="44" s="1"/>
  <c r="K4" i="42"/>
  <c r="D29" i="44"/>
  <c r="D31" i="44" s="1"/>
  <c r="K23" i="44"/>
  <c r="K29" i="44" s="1"/>
  <c r="H16" i="44"/>
  <c r="J16" i="44" s="1"/>
  <c r="G2" i="38"/>
  <c r="G1" i="38" s="1"/>
  <c r="K51" i="42"/>
  <c r="C45" i="45"/>
  <c r="L52" i="42"/>
  <c r="M52" i="42"/>
  <c r="M50" i="42"/>
  <c r="L50" i="42"/>
  <c r="R3" i="42"/>
  <c r="S3" i="42"/>
  <c r="M53" i="42" s="1"/>
  <c r="J2" i="38"/>
  <c r="K2" i="38"/>
  <c r="F19" i="44" l="1"/>
  <c r="F31" i="44" s="1"/>
  <c r="G19" i="44"/>
  <c r="G31" i="44" s="1"/>
  <c r="H31" i="44" s="1"/>
  <c r="H37" i="44" s="1"/>
  <c r="H17" i="44"/>
  <c r="J17" i="44" s="1"/>
  <c r="K17" i="44" s="1"/>
  <c r="K52" i="42"/>
  <c r="L53" i="42"/>
  <c r="L54" i="42"/>
  <c r="R50" i="42"/>
  <c r="S50" i="42"/>
  <c r="M54" i="42"/>
  <c r="K3" i="42"/>
  <c r="K50" i="42" s="1"/>
  <c r="Q3" i="42"/>
  <c r="Q50" i="42" s="1"/>
  <c r="S52" i="42" l="1"/>
  <c r="X14" i="42"/>
  <c r="X15" i="42"/>
  <c r="Q52" i="42"/>
  <c r="K53" i="42"/>
  <c r="K54" i="42"/>
  <c r="H19" i="44"/>
  <c r="J19" i="44" s="1"/>
  <c r="K19" i="44" s="1"/>
  <c r="J31" i="44"/>
  <c r="K31" i="44" s="1"/>
  <c r="X17" i="42" l="1"/>
  <c r="P27" i="45"/>
  <c r="M54" i="45" l="1"/>
  <c r="P16" i="45"/>
  <c r="Q27" i="45"/>
  <c r="F54" i="45"/>
  <c r="L54" i="45"/>
  <c r="H54" i="45"/>
  <c r="C54" i="45"/>
  <c r="J54" i="45"/>
  <c r="I54" i="45"/>
  <c r="E54" i="45"/>
  <c r="D54" i="45"/>
  <c r="K54" i="45"/>
  <c r="N54" i="45"/>
  <c r="G54" i="45"/>
  <c r="O54" i="45" l="1"/>
  <c r="O17" i="45"/>
  <c r="E45" i="45"/>
  <c r="O45" i="45" s="1"/>
  <c r="E41" i="45"/>
  <c r="Q17" i="45" l="1"/>
  <c r="O16" i="45"/>
  <c r="Q16" i="45" s="1"/>
  <c r="O30" i="46"/>
  <c r="O25" i="46" l="1"/>
  <c r="O16" i="4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</author>
  </authors>
  <commentList>
    <comment ref="L6" authorId="0" shapeId="0" xr:uid="{09D16E9E-3114-4BBF-97D3-710C8BDF3917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ESTE SALDO PASA AL 2025 COMO RESULTADO NEGATIVO, PERO ES DE 5M</t>
        </r>
      </text>
    </comment>
    <comment ref="K12" authorId="0" shapeId="0" xr:uid="{A6DBBB3E-54BA-4B1A-AB19-22A4B4ECF152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17500000 son del credito del 2024 del GALICIA. POR UN LADO SE CANCELA EL PASIVO POR EL MONTO INICIAL Y POR OTRO SE COMPUTA EL DINERO SALIDO LOS INTERESES</t>
        </r>
      </text>
    </comment>
    <comment ref="P14" authorId="0" shapeId="0" xr:uid="{6530035D-6435-4850-97CB-4C4C1B418489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BRIZZIO, HERRERO </t>
        </r>
      </text>
    </comment>
    <comment ref="P15" authorId="0" shapeId="0" xr:uid="{91F669B4-183A-4A2F-9796-62E1B02DA280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SANTIAGO</t>
        </r>
      </text>
    </comment>
    <comment ref="O23" authorId="0" shapeId="0" xr:uid="{31F91BD4-8348-42DE-B9AF-E300EC77F366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INCLUYE UATRE, F931</t>
        </r>
      </text>
    </comment>
    <comment ref="P26" authorId="0" shapeId="0" xr:uid="{ABC2EBEE-0A7A-47E0-BFFE-F465CFA47F23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lo compense con una cuenta regularizadora dedl pasivo (amort creditos)</t>
        </r>
      </text>
    </comment>
    <comment ref="Q33" authorId="0" shapeId="0" xr:uid="{0608E0A0-BE5E-44C2-BEF9-C39C0C1BA4E9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PRESTAMO POR
 UN TOTAL DE $19.664.000</t>
        </r>
      </text>
    </comment>
    <comment ref="O36" authorId="0" shapeId="0" xr:uid="{8C438E68-A471-4F27-8B4A-F6887E382D07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se incorpora en 2025 el estado de EPN</t>
        </r>
      </text>
    </comment>
    <comment ref="O37" authorId="0" shapeId="0" xr:uid="{9EF30313-1BC8-485E-9697-FCF1EE6140EC}">
      <text>
        <r>
          <rPr>
            <b/>
            <sz val="9"/>
            <color indexed="81"/>
            <rFont val="Tahoma"/>
            <family val="2"/>
          </rPr>
          <t xml:space="preserve">NETO 
</t>
        </r>
        <r>
          <rPr>
            <sz val="9"/>
            <color indexed="81"/>
            <rFont val="Tahoma"/>
            <family val="2"/>
          </rPr>
          <t>APORTES Y RETIROS SOCIOS</t>
        </r>
      </text>
    </comment>
    <comment ref="O79" authorId="0" shapeId="0" xr:uid="{FCD8711A-C785-4D7B-BACF-86031FC5D001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BRIZZIO, HERRERO Y SANTIAGO</t>
        </r>
      </text>
    </comment>
    <comment ref="O80" authorId="0" shapeId="0" xr:uid="{DD372CB2-AA79-42FB-8322-FDF2002A5AF9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SANTIAGO</t>
        </r>
      </text>
    </comment>
    <comment ref="O96" authorId="0" shapeId="0" xr:uid="{EEAC3017-6759-44E9-B6EF-E6D180599D03}">
      <text>
        <r>
          <rPr>
            <b/>
            <sz val="9"/>
            <color indexed="81"/>
            <rFont val="Tahoma"/>
            <family val="2"/>
          </rPr>
          <t xml:space="preserve">NETO 
</t>
        </r>
        <r>
          <rPr>
            <sz val="9"/>
            <color indexed="81"/>
            <rFont val="Tahoma"/>
            <family val="2"/>
          </rPr>
          <t>APORTES Y RETIROS SOCIOS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</author>
  </authors>
  <commentList>
    <comment ref="F18" authorId="0" shapeId="0" xr:uid="{928DE6C5-83E4-49B5-851E-C8CB223B098A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al 19/05/2025
</t>
        </r>
      </text>
    </comment>
    <comment ref="K31" authorId="0" shapeId="0" xr:uid="{1CE79F0C-909B-44E9-AEB8-ADEA0755512B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cuando termine el ejercicio 2025 este RDO va a RDOs de ej
es la suma del patrimonio neto + la variacion de caja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</author>
  </authors>
  <commentList>
    <comment ref="E43" authorId="0" shapeId="0" xr:uid="{ED9D1B12-760E-4F75-B764-CC7D8051AF0A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estos montos suman 261 en el banco</t>
        </r>
      </text>
    </comment>
    <comment ref="E46" authorId="0" shapeId="0" xr:uid="{2E41F3CA-1A4E-40EA-BEA3-24F4B3A1426E}">
      <text>
        <r>
          <rPr>
            <b/>
            <sz val="9"/>
            <color indexed="81"/>
            <rFont val="Tahoma"/>
            <family val="2"/>
          </rPr>
          <t>LA SUMA TOTAL EN EL BANCO ES DE 480 QU SE LE DEVOLVIO A ADRIAN</t>
        </r>
      </text>
    </comment>
    <comment ref="Q63" authorId="0" shapeId="0" xr:uid="{C6FB8279-DC68-465C-BF0E-2A4BB196F9A0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SE DEBITA TODOS LOS 10 DE CADA MES POR 6 MESES</t>
        </r>
      </text>
    </comment>
    <comment ref="E190" authorId="0" shapeId="0" xr:uid="{103BCFF5-1640-45B9-AF51-6C5666F3DC96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TOTAL 184.363</t>
        </r>
      </text>
    </comment>
    <comment ref="E191" authorId="0" shapeId="0" xr:uid="{86DD00E9-1B68-494E-B7DA-5A240F25F16A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TOTAL 184.400</t>
        </r>
      </text>
    </comment>
    <comment ref="E194" authorId="0" shapeId="0" xr:uid="{EB70A9CF-B729-461D-B0DF-E3CED5581B6D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4" authorId="0" shapeId="0" xr:uid="{25A66DC5-445E-49BD-A696-7C59DA8D9DC1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es el mismo movimiento, solo ue los 5 M son los intereses</t>
        </r>
      </text>
    </comment>
    <comment ref="Q430" authorId="0" shapeId="0" xr:uid="{E402FE16-F30E-4F64-AD97-C8287E8EDAE4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ES A 6 MESES, VENCE EN OCTUBRE EL 8</t>
        </r>
      </text>
    </comment>
    <comment ref="S436" authorId="0" shapeId="0" xr:uid="{BD79C61B-C804-4E4F-925F-CEC9BA2F9E19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SE LE TRANSFIRIO A ADRIAN PARA QUE LE DE EL EF. 1300000 SUELDO TTAL - 250 DE CHQ DESC</t>
        </r>
      </text>
    </comment>
    <comment ref="E443" authorId="0" shapeId="0" xr:uid="{88A89987-1BA7-4D95-8050-804C26EBC5EF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JUNTO CON LOS MONTOS DE ABAJO CONFORMAN EL 1034000</t>
        </r>
      </text>
    </comment>
    <comment ref="E832" authorId="0" shapeId="0" xr:uid="{AE994E60-8365-4D48-A2D0-7F74ED773A1C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TOTAL 1879400, QUE ESTA COMPUESTO POR VARIOS GASTOS</t>
        </r>
      </text>
    </comment>
    <comment ref="E841" authorId="0" shapeId="0" xr:uid="{F07ECA20-955D-4190-A0E2-E7B7317A1189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TODOS ESTOS GASTOS FUERON DEVUELTOS A ADRIAN YA QUE EL ENTREGO EFECTIVO</t>
        </r>
      </text>
    </comment>
    <comment ref="E860" authorId="0" shapeId="0" xr:uid="{E1A563FD-99E9-4285-B63E-0570A5EC7B0A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194.000</t>
        </r>
      </text>
    </comment>
    <comment ref="E1046" authorId="0" shapeId="0" xr:uid="{B09A5778-E371-4FBA-B2B6-2A83B011002D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LA SUMA DE LOS SALDOS A PARTIR DE ESTE DEBEN DAR LA TRANSF DE 1.895.311</t>
        </r>
      </text>
    </comment>
    <comment ref="E1071" authorId="0" shapeId="0" xr:uid="{7EAC3D86-3DB1-470F-9043-C72A2E4806A0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LA SUMA D LOS CONCEPTOS ES 273.460</t>
        </r>
      </text>
    </comment>
    <comment ref="E1169" authorId="0" shapeId="0" xr:uid="{27830880-29CF-4A8C-81E7-932C96A296B3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TOTAL SUMA DEVUELTA A ADRIAN 2.122.963,20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3216C9-3A8A-4B0C-B0AE-C23026C7C00C}" keepAlive="1" name="Consulta - BANCO_CONSOLIDADO (2)" description="Conexión a la consulta 'BANCO_CONSOLIDADO (2)' en el libro." type="5" refreshedVersion="8" background="1" saveData="1">
    <dbPr connection="Provider=Microsoft.Mashup.OleDb.1;Data Source=$Workbook$;Location=&quot;BANCO_CONSOLIDADO (2)&quot;;Extended Properties=&quot;&quot;" command="SELECT * FROM [BANCO_CONSOLIDADO (2)]"/>
  </connection>
  <connection id="2" xr16:uid="{9BB1A0EA-1E5C-46B4-9890-46C03FCB8829}" keepAlive="1" name="Consulta - MACRO1" description="Conexión a la consulta 'MACRO1' en el libro." type="5" refreshedVersion="0" background="1">
    <dbPr connection="Provider=Microsoft.Mashup.OleDb.1;Data Source=$Workbook$;Location=MACRO1;Extended Properties=&quot;&quot;" command="SELECT * FROM [MACRO1]"/>
  </connection>
  <connection id="3" xr16:uid="{3A3EE9C8-3A48-4250-BEC9-1466FAE5EDA6}" keepAlive="1" name="Consulta - PAMPA3" description="Conexión a la consulta 'PAMPA3' en el libro." type="5" refreshedVersion="0" background="1">
    <dbPr connection="Provider=Microsoft.Mashup.OleDb.1;Data Source=$Workbook$;Location=PAMPA3;Extended Properties=&quot;&quot;" command="SELECT * FROM [PAMPA3]"/>
  </connection>
</connections>
</file>

<file path=xl/sharedStrings.xml><?xml version="1.0" encoding="utf-8"?>
<sst xmlns="http://schemas.openxmlformats.org/spreadsheetml/2006/main" count="19423" uniqueCount="1071">
  <si>
    <t>ESTADO DE SITUACION PATRIMONIAL AL 31/12/23</t>
  </si>
  <si>
    <t>ESTADO DE SITUACION PATRIMONIAL AL 01/01/25</t>
  </si>
  <si>
    <t>PARTIDAS CONTABLES</t>
  </si>
  <si>
    <t xml:space="preserve"> DIC 22- DIC 2023</t>
  </si>
  <si>
    <t>DIC 24-DIC 25</t>
  </si>
  <si>
    <t>DIC 23- DIC 24</t>
  </si>
  <si>
    <t>DIC 22- DIC 24</t>
  </si>
  <si>
    <t>DIC 24- DIC 25</t>
  </si>
  <si>
    <t>EXISTENCIAS AL:</t>
  </si>
  <si>
    <t>ACTIVOS</t>
  </si>
  <si>
    <t>PASIVOS</t>
  </si>
  <si>
    <t>PARTIDAS</t>
  </si>
  <si>
    <t>M DE ERROR</t>
  </si>
  <si>
    <t>% REPRESEN</t>
  </si>
  <si>
    <t>ACTIVOS CORRIENTES</t>
  </si>
  <si>
    <t>PASIVOS CORRIENTES</t>
  </si>
  <si>
    <t>EXISTENCIAS</t>
  </si>
  <si>
    <t>ACREEDORES DE CP</t>
  </si>
  <si>
    <t>EXISTENCIAS FINAL PERIODO ANT</t>
  </si>
  <si>
    <t>DEUDAS COMERCIALES CP</t>
  </si>
  <si>
    <t>MACRO</t>
  </si>
  <si>
    <t>DESCUBIERTO BANCOS</t>
  </si>
  <si>
    <t>EFECTIVO Y OTROS ACTIVOS LÍQUIDOS EQ. (1)</t>
  </si>
  <si>
    <t>EFECTIVO Y OTROS ACT LÍQ EQ.</t>
  </si>
  <si>
    <t>PROVEEDORES</t>
  </si>
  <si>
    <t>PAMPA</t>
  </si>
  <si>
    <t>MERCADERIA</t>
  </si>
  <si>
    <t>CHEQUES A CUBRIR</t>
  </si>
  <si>
    <t>GALICIA</t>
  </si>
  <si>
    <t>BIENES Y SERVICIOS</t>
  </si>
  <si>
    <t>NACION</t>
  </si>
  <si>
    <t>INVERSIONES TEMPORARIAS</t>
  </si>
  <si>
    <t>(1) SALDO REAL</t>
  </si>
  <si>
    <t>INSUMOS</t>
  </si>
  <si>
    <t>(2) SALDO ARROJADO</t>
  </si>
  <si>
    <t>OTROS INSUMOS</t>
  </si>
  <si>
    <t>AMORT. CREDITOS GAL</t>
  </si>
  <si>
    <t>AMORT CREDITOS</t>
  </si>
  <si>
    <t>AMORT. CREDITOS</t>
  </si>
  <si>
    <t>DEUDAS FINANCIERAS CP</t>
  </si>
  <si>
    <t>(3) COMPENSACIONES</t>
  </si>
  <si>
    <t>INSUMOS 2025</t>
  </si>
  <si>
    <t>PRESTAMOS CORTO PLAZO</t>
  </si>
  <si>
    <t>(4) SALDO NETO TOTAL (2)+(3)</t>
  </si>
  <si>
    <t>OTROS BIENES Y SERVICIOS</t>
  </si>
  <si>
    <t>ACREEDORES CORTO PLAZO</t>
  </si>
  <si>
    <t>(5) SALDO NETO TOTAL (1)+(4)</t>
  </si>
  <si>
    <t>ACTIVOS NO CORRIENTES</t>
  </si>
  <si>
    <t>OTROS PROVEEDORES A PAGAR</t>
  </si>
  <si>
    <t>BIENES DE USO</t>
  </si>
  <si>
    <t>ACREEDORES BANCARIOS</t>
  </si>
  <si>
    <t>LOS GROBO</t>
  </si>
  <si>
    <t>vence</t>
  </si>
  <si>
    <t>tasa</t>
  </si>
  <si>
    <t>INFRAESTRUCTURA</t>
  </si>
  <si>
    <t>ACREEDOR DE LP</t>
  </si>
  <si>
    <t>SANTIAGO</t>
  </si>
  <si>
    <t>TODO CAMPO INS</t>
  </si>
  <si>
    <t>ACUERDO descubierto NACION</t>
  </si>
  <si>
    <t xml:space="preserve">OTROS </t>
  </si>
  <si>
    <t>INVERSIONES</t>
  </si>
  <si>
    <t>KWS</t>
  </si>
  <si>
    <t>ACUERDO descubierto GALICIA</t>
  </si>
  <si>
    <t>ACA</t>
  </si>
  <si>
    <t>ACUERDO descubierto MACRO 1</t>
  </si>
  <si>
    <t>44.88 %</t>
  </si>
  <si>
    <t>OTRAS INVERSIONES</t>
  </si>
  <si>
    <t xml:space="preserve">CARGAS FISCALES </t>
  </si>
  <si>
    <t>RENTAS</t>
  </si>
  <si>
    <t>ACUERDO descubierto MACRO 2</t>
  </si>
  <si>
    <t>43.73 %</t>
  </si>
  <si>
    <t>ACTIVOS INTANGIBLES</t>
  </si>
  <si>
    <t>DEUDAS SEG SOCIAL</t>
  </si>
  <si>
    <t>ACUERDO descubierto PAMPA</t>
  </si>
  <si>
    <t>PASIVOS NO CORRIENTES</t>
  </si>
  <si>
    <t>OTROS ACTIVOS</t>
  </si>
  <si>
    <t>PROVEEDORES DE LP</t>
  </si>
  <si>
    <t>EL JAQUE</t>
  </si>
  <si>
    <t>DEUDAS FINANCIERAS LP</t>
  </si>
  <si>
    <t>CREDITO NACION</t>
  </si>
  <si>
    <t>CREDITOS A SOLA FIRMA GALICIA</t>
  </si>
  <si>
    <t>BAYER</t>
  </si>
  <si>
    <t>CREDITO MACRO FW 120tn 3,5%</t>
  </si>
  <si>
    <t>MONSANTO</t>
  </si>
  <si>
    <t>CREDITO MACRO FW 90tn 3,5%</t>
  </si>
  <si>
    <t>YPF CARDINALES</t>
  </si>
  <si>
    <t>CREDITOS A SOLA FIRMA NACION</t>
  </si>
  <si>
    <t>CREDITO TARJETA AGRONACION</t>
  </si>
  <si>
    <t>PATRIMONIO NETO</t>
  </si>
  <si>
    <t>CREDITO MACRO CANJE</t>
  </si>
  <si>
    <t>CREDITOS MACRO</t>
  </si>
  <si>
    <t>CREDITOS PAMPA</t>
  </si>
  <si>
    <t>GALICIA A SOLA FIRMA 6M</t>
  </si>
  <si>
    <t>CAPITAL SOCIAL</t>
  </si>
  <si>
    <t>INTERESES A PAGAR</t>
  </si>
  <si>
    <t>RESERVAS</t>
  </si>
  <si>
    <t>INGRESOS</t>
  </si>
  <si>
    <t>APORTES DE CAPITAL</t>
  </si>
  <si>
    <t>EGRESOS</t>
  </si>
  <si>
    <t>RETIRO DE CAPITAL</t>
  </si>
  <si>
    <t>DISTR UTILIDADES</t>
  </si>
  <si>
    <t>FUTURAS UT. ADL CLAUDIA</t>
  </si>
  <si>
    <t>FUTURAS UT. ADL MONICA</t>
  </si>
  <si>
    <t>FUTURAS UT. ADL RAUL</t>
  </si>
  <si>
    <t>EGRESOS SEG SOCIAL y CARGAS FISCALES (-)</t>
  </si>
  <si>
    <t>RDO EJERC ANTERIORES</t>
  </si>
  <si>
    <t>CAPITAL HACIENDA</t>
  </si>
  <si>
    <t>INGRESOS POR INV (+)</t>
  </si>
  <si>
    <t>INTERESES  CRED (-)</t>
  </si>
  <si>
    <t>TOTAL RECURSOS</t>
  </si>
  <si>
    <t>TOTAL FINANCIAMIENTO</t>
  </si>
  <si>
    <t>DIF</t>
  </si>
  <si>
    <t>EF/PC:</t>
  </si>
  <si>
    <t>Índice de liquidez:</t>
  </si>
  <si>
    <t>PT/PN:</t>
  </si>
  <si>
    <t>Índice de endeudamiento:</t>
  </si>
  <si>
    <t>PT/ANC:</t>
  </si>
  <si>
    <t>Índice de endeudamiento sobre activo Corrientes</t>
  </si>
  <si>
    <t>PT/AC</t>
  </si>
  <si>
    <t>Prueba ácida</t>
  </si>
  <si>
    <t>(4) SALDO EST. TOTAL (2)+(3)</t>
  </si>
  <si>
    <t>(5) SALDO NETO (1)+(4)</t>
  </si>
  <si>
    <t>(2) SALDO ESTIMADO</t>
  </si>
  <si>
    <t xml:space="preserve">ESTADO DE SITUACION PATRIMONIAL AL 31/12/23 en USD TC </t>
  </si>
  <si>
    <t xml:space="preserve">ESTADO DE SITUACION PATRIMONIAL AL 01/01/25 en USD TC </t>
  </si>
  <si>
    <t>DEUDAS COMERCIALES</t>
  </si>
  <si>
    <t>PROVEEDORES A PAGAR</t>
  </si>
  <si>
    <t>IMPUESTOS A PAGAR</t>
  </si>
  <si>
    <t>CREDITO GALICIA</t>
  </si>
  <si>
    <t>UTILIDADES ADL CLAUDIA</t>
  </si>
  <si>
    <t>UTILIDADES ADL MONICA</t>
  </si>
  <si>
    <t>UTILIDADES ADL RAUL</t>
  </si>
  <si>
    <t>EGRESOS SEG SOCIAL (-)</t>
  </si>
  <si>
    <t>ESTADOS CONTABLES DE LA ADMINISTRACIÓN CENTRAL</t>
  </si>
  <si>
    <t>ESTADO DE EVOLUCIÓN DEL PATRIMONIO NETO</t>
  </si>
  <si>
    <t>POR EL PERÍODO FINALIZADO EL 31 DE DICIEMBRE DE 2025</t>
  </si>
  <si>
    <t>EN MILLONES DE PESOS</t>
  </si>
  <si>
    <t>C O N C E P T O</t>
  </si>
  <si>
    <t>RESULTADO DE LA CUENTA CORRIENTE</t>
  </si>
  <si>
    <t>CAPITAL</t>
  </si>
  <si>
    <t>AJUSTE</t>
  </si>
  <si>
    <t>VARIACIONES</t>
  </si>
  <si>
    <t>HACIENDA</t>
  </si>
  <si>
    <t>PATRIMONIO</t>
  </si>
  <si>
    <t>TOTAL AL</t>
  </si>
  <si>
    <t>FISCAL</t>
  </si>
  <si>
    <t>DEL CAPITAL</t>
  </si>
  <si>
    <t>PATRIMONIALES</t>
  </si>
  <si>
    <t>PÚBLICA</t>
  </si>
  <si>
    <t>PÚBLICO</t>
  </si>
  <si>
    <t>TOTAL</t>
  </si>
  <si>
    <t>EJERCICIOS</t>
  </si>
  <si>
    <t>DEL</t>
  </si>
  <si>
    <t>(1)</t>
  </si>
  <si>
    <t>(2)</t>
  </si>
  <si>
    <t>(3)</t>
  </si>
  <si>
    <t>ANTERIORES</t>
  </si>
  <si>
    <t>EJERCICIO</t>
  </si>
  <si>
    <t>(4)</t>
  </si>
  <si>
    <t>(5)=(1)+(2)+(3)+(4)</t>
  </si>
  <si>
    <t>(6)</t>
  </si>
  <si>
    <t>(7)=(5)+(6)</t>
  </si>
  <si>
    <t>Saldos al inicio del ejercicio</t>
  </si>
  <si>
    <t>- S/estados contables del ej anterior</t>
  </si>
  <si>
    <t>- Ajuste por Inflación</t>
  </si>
  <si>
    <t>Saldo reexpresado al inicio</t>
  </si>
  <si>
    <t>- Modificacion del saldo</t>
  </si>
  <si>
    <t xml:space="preserve"> - Descubierto Bancos</t>
  </si>
  <si>
    <t>Saldos modif. al inicio del ejercicio</t>
  </si>
  <si>
    <t>Incremento del ejercicio</t>
  </si>
  <si>
    <t>Disminuciones del ejercicio</t>
  </si>
  <si>
    <t>Resultado del Ejercicio</t>
  </si>
  <si>
    <t>INTERESES DE DEUDA</t>
  </si>
  <si>
    <t>Saldos al cierre del ejercicio</t>
  </si>
  <si>
    <t>* Los presentes Estados se encuentran expresados a moneda de cierre.</t>
  </si>
  <si>
    <t>rdo negativo absorvido</t>
  </si>
  <si>
    <t>saldo real en banco</t>
  </si>
  <si>
    <t>RESUMEN DE ACTIVIDADES 2025</t>
  </si>
  <si>
    <t>Etiquetas de fila</t>
  </si>
  <si>
    <t>Suma de EGRESOS</t>
  </si>
  <si>
    <t>Suma de INGRESOS</t>
  </si>
  <si>
    <t>Suma de EGRES USD</t>
  </si>
  <si>
    <t>Suma de INGRES USD</t>
  </si>
  <si>
    <t>ENERO</t>
  </si>
  <si>
    <t>ADMINISTRACION</t>
  </si>
  <si>
    <t>GASTOS_ADM</t>
  </si>
  <si>
    <t>COMISIONES</t>
  </si>
  <si>
    <t>GASTOS_BANC</t>
  </si>
  <si>
    <t>IMPUESTOS</t>
  </si>
  <si>
    <t>GASTOS_FIN</t>
  </si>
  <si>
    <t xml:space="preserve">INTERESES </t>
  </si>
  <si>
    <t>PERSONAL</t>
  </si>
  <si>
    <t>JORNALES</t>
  </si>
  <si>
    <t>SUELDO</t>
  </si>
  <si>
    <t>SOCIOS</t>
  </si>
  <si>
    <t>RETIROS</t>
  </si>
  <si>
    <t>A CTA DE HONORARIOS</t>
  </si>
  <si>
    <t>AGRICULTURA</t>
  </si>
  <si>
    <t>CULT. PRINCIPAL</t>
  </si>
  <si>
    <t>ASESORAMIENTO</t>
  </si>
  <si>
    <t>MAIZ</t>
  </si>
  <si>
    <t>SOJA</t>
  </si>
  <si>
    <t>SIEMBRA</t>
  </si>
  <si>
    <t>APLICACIONES</t>
  </si>
  <si>
    <t>ESTRUCTURA</t>
  </si>
  <si>
    <t>MAQUINARIAS</t>
  </si>
  <si>
    <t>MICHIGAN</t>
  </si>
  <si>
    <t>(en blanco)</t>
  </si>
  <si>
    <t>VEHICULOS</t>
  </si>
  <si>
    <t>DUSTER</t>
  </si>
  <si>
    <t>ESTABLECIMIENTO</t>
  </si>
  <si>
    <t>MANTENIMIENTO</t>
  </si>
  <si>
    <t>PANADERIA</t>
  </si>
  <si>
    <t>PILETA</t>
  </si>
  <si>
    <t>FINANCIERA</t>
  </si>
  <si>
    <t>CUOTA NACION</t>
  </si>
  <si>
    <t>INTERBANKING</t>
  </si>
  <si>
    <t>TRANSF. PROPIAS</t>
  </si>
  <si>
    <t>CREDITOS</t>
  </si>
  <si>
    <t xml:space="preserve">GANADERIA </t>
  </si>
  <si>
    <t>COSTOS_OP</t>
  </si>
  <si>
    <t>LABORATORIO</t>
  </si>
  <si>
    <t>VETERINARIA</t>
  </si>
  <si>
    <t>OTROS</t>
  </si>
  <si>
    <t>OVEJAS</t>
  </si>
  <si>
    <t>FEBRERO</t>
  </si>
  <si>
    <t>HONORARIOS</t>
  </si>
  <si>
    <t>SEGUROS</t>
  </si>
  <si>
    <t>HILUX</t>
  </si>
  <si>
    <t>SERVICIOS</t>
  </si>
  <si>
    <t>SUPERMERCADO</t>
  </si>
  <si>
    <t>COMBUSTIBLES</t>
  </si>
  <si>
    <t>IVA</t>
  </si>
  <si>
    <t>SOCIAL</t>
  </si>
  <si>
    <t>AYUDA SOCIAL</t>
  </si>
  <si>
    <t>MARZO</t>
  </si>
  <si>
    <t>APORTES</t>
  </si>
  <si>
    <t>TERCEROS</t>
  </si>
  <si>
    <t>CULT. COBERTURA</t>
  </si>
  <si>
    <t>ALFALFA</t>
  </si>
  <si>
    <t>RECIBIDOS</t>
  </si>
  <si>
    <t>PERROS</t>
  </si>
  <si>
    <t>ABRIL</t>
  </si>
  <si>
    <t>CUOTA 1 PAMPA</t>
  </si>
  <si>
    <t>CANCELACION GALICIA</t>
  </si>
  <si>
    <t>AJUSTES</t>
  </si>
  <si>
    <t>SALDO RECUPERO</t>
  </si>
  <si>
    <t>MAYO</t>
  </si>
  <si>
    <t>DEVOLUCION</t>
  </si>
  <si>
    <t>COSECHA</t>
  </si>
  <si>
    <t>CONSTRUCCION</t>
  </si>
  <si>
    <t xml:space="preserve">REPARACIONES </t>
  </si>
  <si>
    <t>VENTAS</t>
  </si>
  <si>
    <t>REGALO</t>
  </si>
  <si>
    <t>Total general</t>
  </si>
  <si>
    <t>ASIGNACIONES RESULTADOS 2025</t>
  </si>
  <si>
    <t>Etiquetas de columna</t>
  </si>
  <si>
    <t>01. FACT PAGADAS 24</t>
  </si>
  <si>
    <t>02. FACT PAGADAS 25</t>
  </si>
  <si>
    <t>03. SIN FACTURA 24</t>
  </si>
  <si>
    <t>04. SIN FACTURA 25</t>
  </si>
  <si>
    <t>05. GASTOS_ADM</t>
  </si>
  <si>
    <t>06. COMPENSATORIOS</t>
  </si>
  <si>
    <t>07. CANC PRESTAMO 2023</t>
  </si>
  <si>
    <t>08. CREDITOS</t>
  </si>
  <si>
    <t>09. PLAN DE PAGOS RENTAS CUOTA 2</t>
  </si>
  <si>
    <t>10. SUELDOS Y JORNALES</t>
  </si>
  <si>
    <t>12. UTILIDADES CLAUDIA</t>
  </si>
  <si>
    <t>13. UTILIDADES MONICA</t>
  </si>
  <si>
    <t>15. INGRESOS AGROPECUARIOS</t>
  </si>
  <si>
    <t>15. INGRESOS GANADEROS</t>
  </si>
  <si>
    <t>16. APORTE SOCIO CLAUDIA</t>
  </si>
  <si>
    <t>16. APORTE SOCIO RAUL</t>
  </si>
  <si>
    <t>17. TERCEROS</t>
  </si>
  <si>
    <t>18. CANC CREDITO GALICIA</t>
  </si>
  <si>
    <t>18. CANC PARCIAL CREDITO PAMPA</t>
  </si>
  <si>
    <t>19. AJUSTES</t>
  </si>
  <si>
    <t>20. A CTA DE HONORARIOS</t>
  </si>
  <si>
    <t>SALDO INICIAL BANCOS:</t>
  </si>
  <si>
    <t>saldos con descub</t>
  </si>
  <si>
    <t>PERIODO</t>
  </si>
  <si>
    <t>FECHA</t>
  </si>
  <si>
    <t>DESCRIPCION</t>
  </si>
  <si>
    <t>N DE REFERENCIA</t>
  </si>
  <si>
    <t>SALDO</t>
  </si>
  <si>
    <t>SALDO BANCO</t>
  </si>
  <si>
    <t>TC</t>
  </si>
  <si>
    <t>EGRES USD</t>
  </si>
  <si>
    <t>INGRES USD</t>
  </si>
  <si>
    <t>MONEDA</t>
  </si>
  <si>
    <t>CUENTA</t>
  </si>
  <si>
    <t>BANCO</t>
  </si>
  <si>
    <t>ACTIVIDAD</t>
  </si>
  <si>
    <t>RUBRO</t>
  </si>
  <si>
    <t>CONCEPTO</t>
  </si>
  <si>
    <t>DETALLES</t>
  </si>
  <si>
    <t>PROVEEDOR CLIENTE</t>
  </si>
  <si>
    <t>FACTURA</t>
  </si>
  <si>
    <t>RDS</t>
  </si>
  <si>
    <t>SOCIO</t>
  </si>
  <si>
    <t>CAMPAÑA</t>
  </si>
  <si>
    <t>DEBITO</t>
  </si>
  <si>
    <t>CREDITO</t>
  </si>
  <si>
    <t>ARS</t>
  </si>
  <si>
    <t>CC</t>
  </si>
  <si>
    <t>HACIA CC MACRO</t>
  </si>
  <si>
    <t>24/25</t>
  </si>
  <si>
    <t>IMP.DEB/CRED P/DEB.</t>
  </si>
  <si>
    <t>DEBITO IVA FISCAL</t>
  </si>
  <si>
    <t>PAMPA DIG TRF.</t>
  </si>
  <si>
    <t xml:space="preserve">RETIRO EN CAJA </t>
  </si>
  <si>
    <t>RAUL</t>
  </si>
  <si>
    <t>SUELO+EXTRA+%HAC</t>
  </si>
  <si>
    <t>ANDRES TOLEDO</t>
  </si>
  <si>
    <t xml:space="preserve">PERIODO DIC </t>
  </si>
  <si>
    <t>KEVIN TOLEDO</t>
  </si>
  <si>
    <t>HACIA EL MACRO</t>
  </si>
  <si>
    <t>TASA GRAL</t>
  </si>
  <si>
    <t>RETIRO RAUL</t>
  </si>
  <si>
    <t>CESAR DIAZ</t>
  </si>
  <si>
    <t xml:space="preserve">PAGO TELEFONO </t>
  </si>
  <si>
    <t>DESYUYADOR</t>
  </si>
  <si>
    <t>ALDO DIAZ</t>
  </si>
  <si>
    <t>TRANSF. MACRONLINE E-SET M/T</t>
  </si>
  <si>
    <t>VESTIMENTA CAMPO</t>
  </si>
  <si>
    <t>HUINCAGRO</t>
  </si>
  <si>
    <t>FA625</t>
  </si>
  <si>
    <t>PINTADA DE PILETA</t>
  </si>
  <si>
    <t>DARIO RODRIGUEZ</t>
  </si>
  <si>
    <t>FA22</t>
  </si>
  <si>
    <t>FUT UTILIDADES ENERO</t>
  </si>
  <si>
    <t>CLAUDIA ERRECALDE</t>
  </si>
  <si>
    <t>CLAUDIA</t>
  </si>
  <si>
    <t>IVA PERCEPC.ALIC.RED</t>
  </si>
  <si>
    <t>IVA PERCEPCION</t>
  </si>
  <si>
    <t>INTERESES ACUERDOS</t>
  </si>
  <si>
    <t>IVA REDUCCION 10,5%</t>
  </si>
  <si>
    <t>IVA REDUCCION</t>
  </si>
  <si>
    <t>IMP.SELLOS</t>
  </si>
  <si>
    <t>SELLOS</t>
  </si>
  <si>
    <t>PERIODO ENERO25</t>
  </si>
  <si>
    <t>CABLE CARGADOR</t>
  </si>
  <si>
    <t>MATIAS LUCERO</t>
  </si>
  <si>
    <t>ESPEJO RETROVISOR</t>
  </si>
  <si>
    <t>LAVADO</t>
  </si>
  <si>
    <t>NORMA TOLEDO</t>
  </si>
  <si>
    <t>RESTO SUELDO</t>
  </si>
  <si>
    <t>SUELDO+EXTRA</t>
  </si>
  <si>
    <t>SEGURO</t>
  </si>
  <si>
    <t>COLO BUSTOS</t>
  </si>
  <si>
    <t>SERVICIO A CAMPO</t>
  </si>
  <si>
    <t>FA38</t>
  </si>
  <si>
    <t>TRF.POR CAJ.AUT./HB - 20164045693-ERRECALDE RAUL ALBERTO VAR-</t>
  </si>
  <si>
    <t>IMP.DEB/CRED P/CRED.</t>
  </si>
  <si>
    <t>PMOS COMERCIALES</t>
  </si>
  <si>
    <t>22/23</t>
  </si>
  <si>
    <t>INTERESES</t>
  </si>
  <si>
    <t>HACIA EL GALICIA</t>
  </si>
  <si>
    <t>COM.TRANSF PAMPA DIG</t>
  </si>
  <si>
    <t>DATANET EXENTO - 30708920882-G &amp; E S.A.</t>
  </si>
  <si>
    <t>DESDE CC GALICIA</t>
  </si>
  <si>
    <t>TRANSFERENCIA RECIBIDA - 20164045693-ERRECALDE RAUL ALBERTO VAR-</t>
  </si>
  <si>
    <t>IMP. DEBITOS Y CRED. POR DEBITO</t>
  </si>
  <si>
    <t>IMP. DEBITOS Y CRED. POR CREDITO</t>
  </si>
  <si>
    <t>DEPOSITO EF PARA EL PAMPA</t>
  </si>
  <si>
    <t>SANTIAGO ERRECALDE</t>
  </si>
  <si>
    <t>COBRO PRESTAMO COMERCIAL</t>
  </si>
  <si>
    <t>IVA PERCEPCION ALICUOTA REDUCIDA</t>
  </si>
  <si>
    <t>24/26</t>
  </si>
  <si>
    <t>INTERESES ACUERDO SALDO DEUDOR</t>
  </si>
  <si>
    <t>24/27</t>
  </si>
  <si>
    <t>24/28</t>
  </si>
  <si>
    <t>IVA 10,5%</t>
  </si>
  <si>
    <t>24/29</t>
  </si>
  <si>
    <t>24/30</t>
  </si>
  <si>
    <t>24/31</t>
  </si>
  <si>
    <t>INTERESES EXCESO DESCUBIERTO</t>
  </si>
  <si>
    <t>24/32</t>
  </si>
  <si>
    <t>24/33</t>
  </si>
  <si>
    <t>INTERESES DESCUBIERTO</t>
  </si>
  <si>
    <t>24/34</t>
  </si>
  <si>
    <t>IMPUESTO DE SELLOS</t>
  </si>
  <si>
    <t>24/35</t>
  </si>
  <si>
    <t>24/36</t>
  </si>
  <si>
    <t>COM. MANTENIMIENTO DE CUENTA</t>
  </si>
  <si>
    <t>24/37</t>
  </si>
  <si>
    <t>24/38</t>
  </si>
  <si>
    <t>COM. ALTA DE ACUERDO</t>
  </si>
  <si>
    <t>DESDE CC MACRO</t>
  </si>
  <si>
    <t>PAGO PRESTAMO</t>
  </si>
  <si>
    <t>ULTIMA CUOTA DE PRESTAMO PASADO</t>
  </si>
  <si>
    <t>COMISION PAQUETES</t>
  </si>
  <si>
    <t>23/24</t>
  </si>
  <si>
    <t>I.V.A. BASE</t>
  </si>
  <si>
    <t>RETEN. I.V.A. RG.2408</t>
  </si>
  <si>
    <t>RETENCIONES</t>
  </si>
  <si>
    <t>GRAVAMEN LEY 25413 S/DEB</t>
  </si>
  <si>
    <t>48HS. BANCOS</t>
  </si>
  <si>
    <t xml:space="preserve">TARQUINO </t>
  </si>
  <si>
    <t>FA81,13,29,99,32,57</t>
  </si>
  <si>
    <t>RETIRO POR CAJA PARA PAGOS</t>
  </si>
  <si>
    <t>RUSO MALDONADO</t>
  </si>
  <si>
    <t>UATRE</t>
  </si>
  <si>
    <t>RESTO DEL1,7 M QUE SE RETIRO DEL BANCO</t>
  </si>
  <si>
    <t>MONICA ERRECALDE</t>
  </si>
  <si>
    <t>MONICA</t>
  </si>
  <si>
    <t>CAM.FED.DIST.PZA. O/BCOS.</t>
  </si>
  <si>
    <t>BPAS</t>
  </si>
  <si>
    <t>MINISTERIO DE AGROINDUSTRIA CORDOBA</t>
  </si>
  <si>
    <t>COMIS. CANJE O/BANCOS</t>
  </si>
  <si>
    <t>GRAVAMEN LEY 25413 S/CRED</t>
  </si>
  <si>
    <t>FUT UTILIDADES FEBRERO</t>
  </si>
  <si>
    <t>JORNAL</t>
  </si>
  <si>
    <t>JORGE SUAREZ</t>
  </si>
  <si>
    <t>IGNACIO MALDONADO</t>
  </si>
  <si>
    <t>DIRECTV</t>
  </si>
  <si>
    <t>DEB.TRAN.INTERBMISMO TIT</t>
  </si>
  <si>
    <t>DEP.EFECTIVO</t>
  </si>
  <si>
    <t>BECERRA ADRIAN</t>
  </si>
  <si>
    <t>COMIS.TRANSF.NE24</t>
  </si>
  <si>
    <t>DEPOSITO EF EN CC</t>
  </si>
  <si>
    <t>TRANSF.INT.DIST.TITULAR - CUIT/CUIL: 20164045693</t>
  </si>
  <si>
    <t>TRANSF.INT.DIST.TITULAR - CUIT/CUIL: 27200806536</t>
  </si>
  <si>
    <t>BCA.E.TR.O/BCO - CUIT/CUIL: 30708920882</t>
  </si>
  <si>
    <t>ROLLOS</t>
  </si>
  <si>
    <t>DAVI ARMANDO</t>
  </si>
  <si>
    <t>EN EFECTIVO EN NACIOON</t>
  </si>
  <si>
    <t>COM TRANSFE ELECTRONICA</t>
  </si>
  <si>
    <t>CUBRE EL DESCUBIERTO</t>
  </si>
  <si>
    <t>COMIS.DE COMPROMISO</t>
  </si>
  <si>
    <t>PM/TOT. RES. AGRONACION</t>
  </si>
  <si>
    <t>MARTIN TOLEDO</t>
  </si>
  <si>
    <t>P/CUBRIR EL NACION DE GASTOS</t>
  </si>
  <si>
    <t>PARA TRANSF A RAUL</t>
  </si>
  <si>
    <t>EFEC DE ADRIAN</t>
  </si>
  <si>
    <t>COBRADO POR CAJA</t>
  </si>
  <si>
    <t>PERCEP. IVA</t>
  </si>
  <si>
    <t>COMISION SERVICIO DE CUENTA</t>
  </si>
  <si>
    <t>IMP. DEB. LEY 25413 GRAL.</t>
  </si>
  <si>
    <t>INTERESES SOBRE SALDOS DEUDORES</t>
  </si>
  <si>
    <t>TRF INMED PROVEED</t>
  </si>
  <si>
    <t>FLETES FERTILIZANTE</t>
  </si>
  <si>
    <t>TRANSP. MDB</t>
  </si>
  <si>
    <t>FA6973</t>
  </si>
  <si>
    <t>MES DICIEMBRE</t>
  </si>
  <si>
    <t>CHICHIN PICCO</t>
  </si>
  <si>
    <t>TRANSF INMED CP</t>
  </si>
  <si>
    <t>INSUMOS PARA PILETA</t>
  </si>
  <si>
    <t>SUR SANITARIOS</t>
  </si>
  <si>
    <t>FA6248</t>
  </si>
  <si>
    <t>N68698131</t>
  </si>
  <si>
    <t>HACIA EL PAMPA</t>
  </si>
  <si>
    <t>COMISION CHEQUE PAGADO POR CLEARING</t>
  </si>
  <si>
    <t xml:space="preserve">CHEQUE 48 HS. </t>
  </si>
  <si>
    <t>N68698139</t>
  </si>
  <si>
    <t>ELECT CASA</t>
  </si>
  <si>
    <t>COOPERATIVA ELC</t>
  </si>
  <si>
    <t>TRANSFERENCIA DE CUENTA PROPIA</t>
  </si>
  <si>
    <t>N68698136</t>
  </si>
  <si>
    <t>CANSECO</t>
  </si>
  <si>
    <t>FA209 FA 152</t>
  </si>
  <si>
    <t>N68698134</t>
  </si>
  <si>
    <t xml:space="preserve">ZANOTTO </t>
  </si>
  <si>
    <t>FA2833</t>
  </si>
  <si>
    <t>TRANSFERENCIA DE TERCEROS</t>
  </si>
  <si>
    <t>IMP. CRE. LEY 25413</t>
  </si>
  <si>
    <t>HACIA EL NACION</t>
  </si>
  <si>
    <t>N68698138</t>
  </si>
  <si>
    <t>MES ENERO</t>
  </si>
  <si>
    <t>MERLO</t>
  </si>
  <si>
    <t>TRANSFER. CASH MISMA TITULARIDAD</t>
  </si>
  <si>
    <t>N68698137</t>
  </si>
  <si>
    <t>EL CALDEN</t>
  </si>
  <si>
    <t>FA75 FA 37</t>
  </si>
  <si>
    <t>N68698133</t>
  </si>
  <si>
    <t>PERCEPCION IVA</t>
  </si>
  <si>
    <t>DEP.EFVO.AUTOSERVICIO TICKET: 2096</t>
  </si>
  <si>
    <t>CUOTA DE PRESTAMO</t>
  </si>
  <si>
    <t>PRESTAMO GALICIA</t>
  </si>
  <si>
    <t>DEBITO IIBB - NÚMERO DE CUOTA:1</t>
  </si>
  <si>
    <t>IIBB</t>
  </si>
  <si>
    <t>HACIA CC NACION</t>
  </si>
  <si>
    <t>CREDITO PRESTAMO</t>
  </si>
  <si>
    <t>PERIODO MARZO 25</t>
  </si>
  <si>
    <t>HACIA CC PAMPA</t>
  </si>
  <si>
    <t>SUELDO MARZO 25</t>
  </si>
  <si>
    <t>ALANIZ MELANIA</t>
  </si>
  <si>
    <t>PARTE MARZO</t>
  </si>
  <si>
    <t>HACIA NACION</t>
  </si>
  <si>
    <t>PARA CUBRIR EL NACION</t>
  </si>
  <si>
    <t>TELEFONO</t>
  </si>
  <si>
    <t>CEL RAULI</t>
  </si>
  <si>
    <t>PAGO A BERGIA</t>
  </si>
  <si>
    <t>COM. GESTION TRANSF.FDOS ENTRE BCOS</t>
  </si>
  <si>
    <t>PIDIO PARA MUTUAL</t>
  </si>
  <si>
    <t>DEPOSITO EN EFECTIVO</t>
  </si>
  <si>
    <t>N68698140</t>
  </si>
  <si>
    <t>AGROTRAC</t>
  </si>
  <si>
    <t>FA 1891</t>
  </si>
  <si>
    <t>CHEQUE 48 HS.</t>
  </si>
  <si>
    <t>N68698142</t>
  </si>
  <si>
    <t>SEMILLAS</t>
  </si>
  <si>
    <t>PALO VERDE</t>
  </si>
  <si>
    <t>TEF DATANET PAGOS AFIP</t>
  </si>
  <si>
    <t>CA</t>
  </si>
  <si>
    <t>F931 DIC 24</t>
  </si>
  <si>
    <t>CR TRANSF AUT SDO MISMO TIT</t>
  </si>
  <si>
    <t>DEBITO FISCAL IVA BASICO</t>
  </si>
  <si>
    <t>DEBITO FISCAL IVA PERCEPCION</t>
  </si>
  <si>
    <t>COM RETIRO EFECTIVO POR CAJA</t>
  </si>
  <si>
    <t>RETIRO CAJA</t>
  </si>
  <si>
    <t>MANTENIMIENTO MENSUAL PAQUETE</t>
  </si>
  <si>
    <t>F931 ENE 25</t>
  </si>
  <si>
    <t>HACIA LA CC</t>
  </si>
  <si>
    <t>F931 OCTUBRE 24</t>
  </si>
  <si>
    <t>F931 AGOSTO 24</t>
  </si>
  <si>
    <t>F931 FEB 2025</t>
  </si>
  <si>
    <t>F931 MAR 2025</t>
  </si>
  <si>
    <t>INTER.ADEL.CC C/ACUERD</t>
  </si>
  <si>
    <t>ACUERDO</t>
  </si>
  <si>
    <t>INTER.ADEL.CC S/ACUERD</t>
  </si>
  <si>
    <t>CHEQUE P/CAMARA</t>
  </si>
  <si>
    <t>N54053745</t>
  </si>
  <si>
    <t>TRIVERO</t>
  </si>
  <si>
    <t>FA15, 39</t>
  </si>
  <si>
    <t>N51936031</t>
  </si>
  <si>
    <t>CLERICI JUAN PABLO</t>
  </si>
  <si>
    <t>FA 118</t>
  </si>
  <si>
    <t>N51936034</t>
  </si>
  <si>
    <t>LA YUNTA VET</t>
  </si>
  <si>
    <t>FA 137</t>
  </si>
  <si>
    <t>N54056923</t>
  </si>
  <si>
    <t>FA 53</t>
  </si>
  <si>
    <t>N54213833</t>
  </si>
  <si>
    <t>FA 0123</t>
  </si>
  <si>
    <t>TRANSF G Y E SA 30708920882 VAR VARIOS 161104</t>
  </si>
  <si>
    <t>COMISION CHEQUE CONSULTA</t>
  </si>
  <si>
    <t>DB TR..AUT.SDO.MISMO TIT.</t>
  </si>
  <si>
    <t>HACIA LA CA</t>
  </si>
  <si>
    <t>N54382191</t>
  </si>
  <si>
    <t>ARREGLO CUB AUX</t>
  </si>
  <si>
    <t>GOMERIA GONZALEZ</t>
  </si>
  <si>
    <t>TRANSF. MACRONLINE E-SET D/T</t>
  </si>
  <si>
    <t>ANALISIS COPROLOGICO</t>
  </si>
  <si>
    <t>FA164</t>
  </si>
  <si>
    <t>COM. SERV DESC NO AUTORIZ.</t>
  </si>
  <si>
    <t>HACIA CA MACRO</t>
  </si>
  <si>
    <t>N51936044</t>
  </si>
  <si>
    <t>FEDE PICCIOCHI</t>
  </si>
  <si>
    <t>FA306</t>
  </si>
  <si>
    <t>N54580542</t>
  </si>
  <si>
    <t>DIESEL LANGE</t>
  </si>
  <si>
    <t>FA86,03,16</t>
  </si>
  <si>
    <t>TEF DATANET MT G E S A 30708920882</t>
  </si>
  <si>
    <t>N54323560</t>
  </si>
  <si>
    <t>CORRALON RIVADAVIA</t>
  </si>
  <si>
    <t>FA1802</t>
  </si>
  <si>
    <t>COMISION</t>
  </si>
  <si>
    <t>N51936047</t>
  </si>
  <si>
    <t>AGRICOLA CENTENO</t>
  </si>
  <si>
    <t>FA7488</t>
  </si>
  <si>
    <t>CHEQUE CANJE INTERNO</t>
  </si>
  <si>
    <t>N51936037</t>
  </si>
  <si>
    <t>FERNANDO MAGALLANES</t>
  </si>
  <si>
    <t>N51936045</t>
  </si>
  <si>
    <t>FA 604</t>
  </si>
  <si>
    <t>SANCORSEG - SANCOR SEGUROS</t>
  </si>
  <si>
    <t>SANCOR SEGUROS</t>
  </si>
  <si>
    <t>DGR FINANZAS CBA</t>
  </si>
  <si>
    <t>CUOTA 2/6</t>
  </si>
  <si>
    <t>DB/CR - COMEX- Suc.:811</t>
  </si>
  <si>
    <t>COMISION TRF. MACROL E-SET</t>
  </si>
  <si>
    <t>VACACIONES</t>
  </si>
  <si>
    <t>RODRIGUEZ ARIEL</t>
  </si>
  <si>
    <t>TRASLADO A REALICO</t>
  </si>
  <si>
    <t>MEDERO</t>
  </si>
  <si>
    <t>FA152</t>
  </si>
  <si>
    <t>ENCOMIENDA MACRO Y SEGURO EMPLEADO</t>
  </si>
  <si>
    <t>ENTREGA A EMPL CAMPO</t>
  </si>
  <si>
    <t>SOJA PRESTADA ANTERIOR</t>
  </si>
  <si>
    <t>COMISION CHQ PAG CLEARING</t>
  </si>
  <si>
    <t>TRANSF:2501280000839698783283-20445501205</t>
  </si>
  <si>
    <t>ESQUILADO</t>
  </si>
  <si>
    <t>N54213938</t>
  </si>
  <si>
    <t>N53810327</t>
  </si>
  <si>
    <t>LUBRICANTES</t>
  </si>
  <si>
    <t>FA144</t>
  </si>
  <si>
    <t>N54623173</t>
  </si>
  <si>
    <t>TODO CAMPO COMB</t>
  </si>
  <si>
    <t>N7084</t>
  </si>
  <si>
    <t>DGR SELLOS CORDOBA</t>
  </si>
  <si>
    <t>N54382306</t>
  </si>
  <si>
    <t>N53810330</t>
  </si>
  <si>
    <t>FERRRETERIA BULTOR</t>
  </si>
  <si>
    <t>FA216</t>
  </si>
  <si>
    <t>CUOTA 3/6</t>
  </si>
  <si>
    <t>N53810333</t>
  </si>
  <si>
    <t>EXTRACCION</t>
  </si>
  <si>
    <t>DANI PEREYRA</t>
  </si>
  <si>
    <t>ABOGADA</t>
  </si>
  <si>
    <t>QUARANTA CARLOS</t>
  </si>
  <si>
    <t>TRANSF 30708920882 VAR 190181700002</t>
  </si>
  <si>
    <t>INYECTORES</t>
  </si>
  <si>
    <t>VCA REPUESTOS</t>
  </si>
  <si>
    <t>N53810345</t>
  </si>
  <si>
    <t>FA 667</t>
  </si>
  <si>
    <t>N53810332</t>
  </si>
  <si>
    <t>FA 630</t>
  </si>
  <si>
    <t>N53810331</t>
  </si>
  <si>
    <t>FA315</t>
  </si>
  <si>
    <t>N51936048</t>
  </si>
  <si>
    <t>LEO FERNANDEZ</t>
  </si>
  <si>
    <t>FA 286 282</t>
  </si>
  <si>
    <t>N53810328</t>
  </si>
  <si>
    <t>REPUESTOS</t>
  </si>
  <si>
    <t>FA 804</t>
  </si>
  <si>
    <t>N53810342</t>
  </si>
  <si>
    <t>FA 7381</t>
  </si>
  <si>
    <t>N53810326</t>
  </si>
  <si>
    <t>GARELLO</t>
  </si>
  <si>
    <t>N53810338</t>
  </si>
  <si>
    <t>FA 31,32,33</t>
  </si>
  <si>
    <t>N53810346</t>
  </si>
  <si>
    <t>FA319</t>
  </si>
  <si>
    <t>N53810352</t>
  </si>
  <si>
    <t>HA COMBUSTIBLES</t>
  </si>
  <si>
    <t>N54213999</t>
  </si>
  <si>
    <t>FA123</t>
  </si>
  <si>
    <t>N53810347</t>
  </si>
  <si>
    <t>N53810350</t>
  </si>
  <si>
    <t>N54382421</t>
  </si>
  <si>
    <t>N53810343</t>
  </si>
  <si>
    <t>PINTURAS PARA CASA</t>
  </si>
  <si>
    <t>AR PINTURAS</t>
  </si>
  <si>
    <t>FA246</t>
  </si>
  <si>
    <t>N53810334</t>
  </si>
  <si>
    <t>TRANSF ERRECALDE 20164045693 VAR VARIOS</t>
  </si>
  <si>
    <t>DBCR 25413 S/CR TASA GRAL</t>
  </si>
  <si>
    <t>N53810339</t>
  </si>
  <si>
    <t>FA31, 32, 33</t>
  </si>
  <si>
    <t>N56186509</t>
  </si>
  <si>
    <t>DIESEL REALICO</t>
  </si>
  <si>
    <t>FA 3740</t>
  </si>
  <si>
    <t>DEVOLUCION PARTE APORTADO</t>
  </si>
  <si>
    <t>DEVOLUCION APORTADO</t>
  </si>
  <si>
    <t>PERIODO FEBRERO 25</t>
  </si>
  <si>
    <t>TRASLADO AL CAMPO</t>
  </si>
  <si>
    <t>CUOTA 4/6</t>
  </si>
  <si>
    <t>FABIANA VICENTIN</t>
  </si>
  <si>
    <t>LLAVES DE PASO</t>
  </si>
  <si>
    <t>CIANCIO</t>
  </si>
  <si>
    <t>FA 951</t>
  </si>
  <si>
    <t>LAVADERO</t>
  </si>
  <si>
    <t>IVA BASICO</t>
  </si>
  <si>
    <t>N53810351</t>
  </si>
  <si>
    <t>CALAFAT CESAR</t>
  </si>
  <si>
    <t>N53810353</t>
  </si>
  <si>
    <t>N53810354</t>
  </si>
  <si>
    <t>FA322</t>
  </si>
  <si>
    <t>N53810335</t>
  </si>
  <si>
    <t>TORTONE</t>
  </si>
  <si>
    <t>N53810349</t>
  </si>
  <si>
    <t>TRANSF 20164045693 VAR</t>
  </si>
  <si>
    <t>TRANSF 30708920882 VAR</t>
  </si>
  <si>
    <t>DESDE CC NACION</t>
  </si>
  <si>
    <t>N53810357</t>
  </si>
  <si>
    <t>ADELANTO SUELDO</t>
  </si>
  <si>
    <t>N53810337</t>
  </si>
  <si>
    <t>N53810340</t>
  </si>
  <si>
    <t>IVA RECEPCION</t>
  </si>
  <si>
    <t>N53810355</t>
  </si>
  <si>
    <t>FA7641</t>
  </si>
  <si>
    <t>N53810356</t>
  </si>
  <si>
    <t>MES ENERO, FEB</t>
  </si>
  <si>
    <t>N53810359</t>
  </si>
  <si>
    <t>FA 7952</t>
  </si>
  <si>
    <t>AJUSTE SALDO DEUDA RECUPERO</t>
  </si>
  <si>
    <t>N53810362</t>
  </si>
  <si>
    <t>N53810368</t>
  </si>
  <si>
    <t>FA333</t>
  </si>
  <si>
    <t>TRANSF LEIVA HER 30710771576 VAR VARIOS</t>
  </si>
  <si>
    <t>VENTA</t>
  </si>
  <si>
    <t>LEIVA HNOS</t>
  </si>
  <si>
    <t>N53810341</t>
  </si>
  <si>
    <t>N53810360</t>
  </si>
  <si>
    <t>N53810364</t>
  </si>
  <si>
    <t>HACIA CC GALICIA</t>
  </si>
  <si>
    <t>DEVOLUCION APORTADO PARA MARTIIN</t>
  </si>
  <si>
    <t>TEF DATANET PR ACEITERA GENERAL 30502874353</t>
  </si>
  <si>
    <t>AGD</t>
  </si>
  <si>
    <t>COMISIÀN ADMINISTRACIÀN DE CHEQUERA</t>
  </si>
  <si>
    <t>MES ABRIL</t>
  </si>
  <si>
    <t>PERIODO ABRIL</t>
  </si>
  <si>
    <t>INSCRIPCION DE FEDE</t>
  </si>
  <si>
    <t>CUOTA 6/6</t>
  </si>
  <si>
    <t>N53810371</t>
  </si>
  <si>
    <t>PICADO (MARGARIA)</t>
  </si>
  <si>
    <t>FA 8266</t>
  </si>
  <si>
    <t>N53810358</t>
  </si>
  <si>
    <t>TEF DATANET PR SWIFT ARGENTINA SA 30560378056</t>
  </si>
  <si>
    <t>SWIFT</t>
  </si>
  <si>
    <t>N53810363</t>
  </si>
  <si>
    <t>N53810367</t>
  </si>
  <si>
    <t>FA 706</t>
  </si>
  <si>
    <t>FA48 FA50</t>
  </si>
  <si>
    <t>ABRIL RESTO</t>
  </si>
  <si>
    <t>UATRE MAYO</t>
  </si>
  <si>
    <t>OSECAC</t>
  </si>
  <si>
    <t>FAESYS</t>
  </si>
  <si>
    <t>ALAMBRADO</t>
  </si>
  <si>
    <t>MOLINO</t>
  </si>
  <si>
    <t>NECRI</t>
  </si>
  <si>
    <t>A KVIN POR CUMPLE</t>
  </si>
  <si>
    <t>PAMPA SUR</t>
  </si>
  <si>
    <t>N53810365</t>
  </si>
  <si>
    <t>N57572069</t>
  </si>
  <si>
    <t>GOMERIA ALTAMIRANO (AMETSEN)</t>
  </si>
  <si>
    <t>TRANSFERENCIA</t>
  </si>
  <si>
    <t>PARA PAGO MARTIN</t>
  </si>
  <si>
    <t>EFECTIVO</t>
  </si>
  <si>
    <t>-</t>
  </si>
  <si>
    <t>PARA UATRE</t>
  </si>
  <si>
    <t>UATRE ABRIL</t>
  </si>
  <si>
    <t>IMPUTACION DE MONTOS DE LAS ACTIVIDADES PRODUCTIVAS 2025</t>
  </si>
  <si>
    <t>ACTIVIDADES</t>
  </si>
  <si>
    <t>JUNIO</t>
  </si>
  <si>
    <t>JULIO</t>
  </si>
  <si>
    <t>AGOSTO</t>
  </si>
  <si>
    <t>SEPTIEMBRE</t>
  </si>
  <si>
    <t>OCTUBRE</t>
  </si>
  <si>
    <t>NOVIEMBRE</t>
  </si>
  <si>
    <t>DICIEMBRE</t>
  </si>
  <si>
    <t>ESTIMADO</t>
  </si>
  <si>
    <t>%</t>
  </si>
  <si>
    <t>USD</t>
  </si>
  <si>
    <t>USD/HA</t>
  </si>
  <si>
    <t>FLETES</t>
  </si>
  <si>
    <t>PORCENTAJE</t>
  </si>
  <si>
    <t>SEMILLA</t>
  </si>
  <si>
    <t>OTRAS APLICACIONES</t>
  </si>
  <si>
    <t>SALDO ACUM</t>
  </si>
  <si>
    <t>FINACIERA</t>
  </si>
  <si>
    <t>GANADERIA</t>
  </si>
  <si>
    <t>AMORT. CRED</t>
  </si>
  <si>
    <t>PRESTAMOS</t>
  </si>
  <si>
    <t>CULTIVO PRINCIPAL</t>
  </si>
  <si>
    <t>CULTIVO COBERTURA</t>
  </si>
  <si>
    <t>HERRAMIENTAS</t>
  </si>
  <si>
    <t>OVINO</t>
  </si>
  <si>
    <t>PORCINOS</t>
  </si>
  <si>
    <t>CAPRINOS</t>
  </si>
  <si>
    <t>GALLINAS</t>
  </si>
  <si>
    <t>SUELDOS</t>
  </si>
  <si>
    <t>GASTOS_VARIOS</t>
  </si>
  <si>
    <t>APORTE</t>
  </si>
  <si>
    <t>BIENES PERSONALES</t>
  </si>
  <si>
    <t>CUOTAS PRESTAMOS</t>
  </si>
  <si>
    <t>PLAZO FIJO</t>
  </si>
  <si>
    <t>ANALISIS LAB.</t>
  </si>
  <si>
    <t>REPARACIONES</t>
  </si>
  <si>
    <t>DESMALEZADORA</t>
  </si>
  <si>
    <t xml:space="preserve">HILUX </t>
  </si>
  <si>
    <t>GENERADOR HONDA</t>
  </si>
  <si>
    <t>ESQUILA</t>
  </si>
  <si>
    <t>WALTER MEDINA</t>
  </si>
  <si>
    <t xml:space="preserve">DEVOLUCION </t>
  </si>
  <si>
    <t>GANANCIAS</t>
  </si>
  <si>
    <t>DHUSTER</t>
  </si>
  <si>
    <t>FERTILIZANTES</t>
  </si>
  <si>
    <t>MIXER</t>
  </si>
  <si>
    <t>PINCHES ROLLOS</t>
  </si>
  <si>
    <t>VETERINARIO</t>
  </si>
  <si>
    <t>VARIOS</t>
  </si>
  <si>
    <t>INMOBILIARIOS</t>
  </si>
  <si>
    <t>HERBICIDAS</t>
  </si>
  <si>
    <t>MEDICAMENTOS</t>
  </si>
  <si>
    <t>PALA CARGADORA</t>
  </si>
  <si>
    <t>MULTAS</t>
  </si>
  <si>
    <t>INSECTICIDAS</t>
  </si>
  <si>
    <t xml:space="preserve">REPUESTOS_SEM </t>
  </si>
  <si>
    <t>ESCRIBANIA</t>
  </si>
  <si>
    <t>FUNGICIDA</t>
  </si>
  <si>
    <t>FORRAJERIA</t>
  </si>
  <si>
    <t>REPUESTOS_SEM PLA</t>
  </si>
  <si>
    <t>TRACTOR 780</t>
  </si>
  <si>
    <t>TASAS</t>
  </si>
  <si>
    <t>VENTA HAC.</t>
  </si>
  <si>
    <t>TRACTOR JD</t>
  </si>
  <si>
    <t>GUIAS</t>
  </si>
  <si>
    <t xml:space="preserve">ALQUILERES </t>
  </si>
  <si>
    <t>GRANOS</t>
  </si>
  <si>
    <t>INOCULANTE</t>
  </si>
  <si>
    <t>ASESORAMIENTO PROF.</t>
  </si>
  <si>
    <t>VENTA CEREALES</t>
  </si>
  <si>
    <t>EXTRACCION MAIZ</t>
  </si>
  <si>
    <t>N53810366</t>
  </si>
  <si>
    <t>FA 8250</t>
  </si>
  <si>
    <t>FA 6821</t>
  </si>
  <si>
    <t>FA 8330</t>
  </si>
  <si>
    <t>N53810370</t>
  </si>
  <si>
    <t>N53810369</t>
  </si>
  <si>
    <t>FA 8133</t>
  </si>
  <si>
    <t>PRESTAMO PAMPA A 6MESES</t>
  </si>
  <si>
    <t>PARTE DE LOS 2,6M</t>
  </si>
  <si>
    <t>PRESTAMO</t>
  </si>
  <si>
    <t>N57572267</t>
  </si>
  <si>
    <t>AMETSEN</t>
  </si>
  <si>
    <t>N57612038</t>
  </si>
  <si>
    <t>FA 080</t>
  </si>
  <si>
    <t xml:space="preserve"> N68698145</t>
  </si>
  <si>
    <t>N68698148</t>
  </si>
  <si>
    <t>FA8373 FA8374</t>
  </si>
  <si>
    <t xml:space="preserve">FA147 </t>
  </si>
  <si>
    <t>N53810361</t>
  </si>
  <si>
    <t>A ALIBERTI</t>
  </si>
  <si>
    <t>LUCARELLI AGUSTIN</t>
  </si>
  <si>
    <t>N68698147</t>
  </si>
  <si>
    <t xml:space="preserve"> N68698150</t>
  </si>
  <si>
    <t>FA 0487</t>
  </si>
  <si>
    <t>FA 288</t>
  </si>
  <si>
    <t>CORTI</t>
  </si>
  <si>
    <t>N68698152</t>
  </si>
  <si>
    <t>N68698153</t>
  </si>
  <si>
    <t>FA35 FA36</t>
  </si>
  <si>
    <t>FA341</t>
  </si>
  <si>
    <t>N68698149</t>
  </si>
  <si>
    <t>SE DEPOSITO EN EFEC PARA CUBRIR CHEQUE</t>
  </si>
  <si>
    <t>COSECHA 114 HAS</t>
  </si>
  <si>
    <t>ANALISIS SUELO</t>
  </si>
  <si>
    <t>TEF DATANET PR UNICER SAS 30715839888</t>
  </si>
  <si>
    <t>CCERR MACRO AGRO 30645289826 CIRC.CERRADO</t>
  </si>
  <si>
    <t>IVA RG 2300/2007</t>
  </si>
  <si>
    <t>N68698143</t>
  </si>
  <si>
    <t>N68698154</t>
  </si>
  <si>
    <t>FA 9152</t>
  </si>
  <si>
    <t>PANADERIA PICCO</t>
  </si>
  <si>
    <t>MARZO ABRIL</t>
  </si>
  <si>
    <t>FA 1932</t>
  </si>
  <si>
    <t>N53810372</t>
  </si>
  <si>
    <t>EXTRA SUELDO</t>
  </si>
  <si>
    <t>UTILIDADES FUTURAS</t>
  </si>
  <si>
    <t>PERIODO MAYO 25</t>
  </si>
  <si>
    <t>FA 8489</t>
  </si>
  <si>
    <t>LIQ.SUSC 10 000000000324771</t>
  </si>
  <si>
    <t>SUSCRIPCION</t>
  </si>
  <si>
    <t>FCI MONEY MARKET</t>
  </si>
  <si>
    <t>BANCO MACRO</t>
  </si>
  <si>
    <t>21. INVERSIONES</t>
  </si>
  <si>
    <t>SENASA</t>
  </si>
  <si>
    <t>ASADO CAMPO</t>
  </si>
  <si>
    <t>LIMPIEZA CASA CAMPO</t>
  </si>
  <si>
    <t>GRACIELA</t>
  </si>
  <si>
    <t>PERIODO JUNIO</t>
  </si>
  <si>
    <t>10 SOL.RESC 6644683 324771</t>
  </si>
  <si>
    <t>DB.CEXT YCBIOS.GRAV.L25413 SUC.:811</t>
  </si>
  <si>
    <t>N57979221</t>
  </si>
  <si>
    <t>RESCATE</t>
  </si>
  <si>
    <t>FA 8655</t>
  </si>
  <si>
    <t>SE CUBRE DESCUBIERTO</t>
  </si>
  <si>
    <t>BANCO PAMPA</t>
  </si>
  <si>
    <t>BANCO GALICIA</t>
  </si>
  <si>
    <t>BANCO NACION</t>
  </si>
  <si>
    <t>CUOTA 5/6</t>
  </si>
  <si>
    <t>N68698155</t>
  </si>
  <si>
    <t>FA 2957</t>
  </si>
  <si>
    <t xml:space="preserve"> IVA</t>
  </si>
  <si>
    <t xml:space="preserve"> PERCEP. IVA</t>
  </si>
  <si>
    <t xml:space="preserve"> COMISION CHEQUE PAGADO POR CLEARING</t>
  </si>
  <si>
    <t xml:space="preserve"> IMP. DEB. LEY 25413</t>
  </si>
  <si>
    <t xml:space="preserve"> INTERESES SOBRE SALDOS DEUDORES</t>
  </si>
  <si>
    <t xml:space="preserve"> IMPUESTO DE SELLOS</t>
  </si>
  <si>
    <t>TRAE EFECTIVO</t>
  </si>
  <si>
    <t>N58150466</t>
  </si>
  <si>
    <t>N58730909</t>
  </si>
  <si>
    <t>N57979293</t>
  </si>
  <si>
    <t>N58637979</t>
  </si>
  <si>
    <t xml:space="preserve">FACUNDO DE DIOS </t>
  </si>
  <si>
    <t>LA SEGUNDA SEGUROS</t>
  </si>
  <si>
    <t>N68698156</t>
  </si>
  <si>
    <t xml:space="preserve">CHEQUE GALICIA </t>
  </si>
  <si>
    <t>N68698151</t>
  </si>
  <si>
    <t>ALINEACIONES ROBLEDO</t>
  </si>
  <si>
    <t>FA 0065</t>
  </si>
  <si>
    <t>HACIA GALICIA</t>
  </si>
  <si>
    <t>OSECAC Y FAECYS</t>
  </si>
  <si>
    <t>PAGO CN 2 GOMAS A FACUNDO DE DIOS- PARTE DE DEVOLUCION</t>
  </si>
  <si>
    <t>APORTES (EN REALIDAD EL DEVUELVE)</t>
  </si>
  <si>
    <t>PARTE JULIO</t>
  </si>
  <si>
    <t>PARTE JUNIO</t>
  </si>
  <si>
    <t>N57939816</t>
  </si>
  <si>
    <t>N57867829</t>
  </si>
  <si>
    <t>N57867826</t>
  </si>
  <si>
    <t>N57572139</t>
  </si>
  <si>
    <t>N53810373</t>
  </si>
  <si>
    <t>RESTO DEL SEGURO</t>
  </si>
  <si>
    <t>FA 328</t>
  </si>
  <si>
    <t>FA 067</t>
  </si>
  <si>
    <t>GOMAS</t>
  </si>
  <si>
    <t>LUCHI GIL</t>
  </si>
  <si>
    <t>ACARREO</t>
  </si>
  <si>
    <t>CENTRO DE GANADERO</t>
  </si>
  <si>
    <t xml:space="preserve">ECHEQ 48 HS. </t>
  </si>
  <si>
    <t>N119</t>
  </si>
  <si>
    <t>MARGARIA</t>
  </si>
  <si>
    <t>FA 931</t>
  </si>
  <si>
    <t xml:space="preserve"> PICADO </t>
  </si>
  <si>
    <t>GALICIA A SOLA FIRMA 6MESES</t>
  </si>
  <si>
    <t>MACRO A SOLA FIRMA</t>
  </si>
  <si>
    <t>N58345537</t>
  </si>
  <si>
    <t>N53810374</t>
  </si>
  <si>
    <t>ALTINA JOSE</t>
  </si>
  <si>
    <t xml:space="preserve">COSECHA </t>
  </si>
  <si>
    <t>FA 176</t>
  </si>
  <si>
    <t>FA 83 FA 09</t>
  </si>
  <si>
    <t>DESDE CC PAMPA</t>
  </si>
  <si>
    <t>TRANSF. PROPIA ENVIADA PD - 30708920882-G &amp; E S.A.</t>
  </si>
  <si>
    <t>MOVISTAR</t>
  </si>
  <si>
    <t>POR PAGO A MARTIN, GUIA,  DE DIOS FACUNDO</t>
  </si>
  <si>
    <t>PAGO VARIOS</t>
  </si>
  <si>
    <t>25/26</t>
  </si>
  <si>
    <t>FA 6295</t>
  </si>
  <si>
    <t>FA 6278, 79</t>
  </si>
  <si>
    <t>RESULTADO SEMESTRAL</t>
  </si>
  <si>
    <t>DIRATCHETTE AGUSTIN</t>
  </si>
  <si>
    <t>FA 607</t>
  </si>
  <si>
    <t>SEMBRADORA</t>
  </si>
  <si>
    <t>N57867830</t>
  </si>
  <si>
    <t xml:space="preserve">AMIN JOSE </t>
  </si>
  <si>
    <t>COMPRA</t>
  </si>
  <si>
    <t>22. COSTOS GANADEROS</t>
  </si>
  <si>
    <t>CUOTA 2 PAMPA</t>
  </si>
  <si>
    <t>CUOTA 3 PAMPA</t>
  </si>
  <si>
    <t>N° Liq: 1615</t>
  </si>
  <si>
    <t>39 NOVILLOS</t>
  </si>
  <si>
    <t>N° Liq: 24429</t>
  </si>
  <si>
    <t>VENTA 24/4/2025</t>
  </si>
  <si>
    <t>VENTA 28/5/2025</t>
  </si>
  <si>
    <t>N58819565</t>
  </si>
  <si>
    <t>TEKNAL</t>
  </si>
  <si>
    <t>SUPLEMENTOS</t>
  </si>
  <si>
    <t>ALIMENTACION</t>
  </si>
  <si>
    <t>EL POLO TAVI GALVAN</t>
  </si>
  <si>
    <t>FA 152</t>
  </si>
  <si>
    <t>DBCR 25413 S/DB TASA GRAL</t>
  </si>
  <si>
    <t>TRANSF 30710771576 VAR</t>
  </si>
  <si>
    <t>N51936042</t>
  </si>
  <si>
    <t>N57867832</t>
  </si>
  <si>
    <t xml:space="preserve">INSUMOS </t>
  </si>
  <si>
    <t>FA 346</t>
  </si>
  <si>
    <t xml:space="preserve">TRANSF. ENVIADA PAMPA DIGITAL </t>
  </si>
  <si>
    <t>PRESTO ADRIAN PARA JORNAL Y SEGURO</t>
  </si>
  <si>
    <t>CONSEJO PROF CS ECONOMICAS</t>
  </si>
  <si>
    <t>SEGURO HILUX</t>
  </si>
  <si>
    <t>ACREEDORES A COBRAR</t>
  </si>
  <si>
    <t>F931</t>
  </si>
  <si>
    <t>DEBITO AUTOMATICO GALICIA RURAL</t>
  </si>
  <si>
    <t>N68698146</t>
  </si>
  <si>
    <t>FA 147</t>
  </si>
  <si>
    <t>RODRIGUEZ RAUL</t>
  </si>
  <si>
    <t>TERMO PARA ANDRES</t>
  </si>
  <si>
    <t>FA 52</t>
  </si>
  <si>
    <t>VENTA 12/06/2025</t>
  </si>
  <si>
    <t>38 NOVILLOS</t>
  </si>
  <si>
    <t>N° Liq: 24543</t>
  </si>
  <si>
    <t>N57867827</t>
  </si>
  <si>
    <t>A CTA DE JUBILACION</t>
  </si>
  <si>
    <t>COLOMBO&amp;COLOMBO</t>
  </si>
  <si>
    <t>CUOTA 1- 68 TERNEROS</t>
  </si>
  <si>
    <t>N57867833</t>
  </si>
  <si>
    <t>SUELDO JUNIO+SAC</t>
  </si>
  <si>
    <t>EXTRA</t>
  </si>
  <si>
    <t>BAQUE FACUNDO</t>
  </si>
  <si>
    <t>BETO RODRIGUEZ</t>
  </si>
  <si>
    <t>SUELDO JUNIO+SAC+EXTRA</t>
  </si>
  <si>
    <t>TASA MUNICIPAL</t>
  </si>
  <si>
    <t>PARTE AGOSTO</t>
  </si>
  <si>
    <t>ESPINAGRO</t>
  </si>
  <si>
    <t>FA 1936</t>
  </si>
  <si>
    <t>N68698144</t>
  </si>
  <si>
    <t>N59296422</t>
  </si>
  <si>
    <t>N57867834</t>
  </si>
  <si>
    <t>AGRONASAJA</t>
  </si>
  <si>
    <t>N58150511</t>
  </si>
  <si>
    <t>VENTA 22/06/2025</t>
  </si>
  <si>
    <t>N° Liq: 24611</t>
  </si>
  <si>
    <t>PAGO A AMETSEN CON GOMAS</t>
  </si>
  <si>
    <t>CUOTA 1- 203 TERNEROS</t>
  </si>
  <si>
    <t>TRF MO CCDO DIST T - 30708920882</t>
  </si>
  <si>
    <t>N59345389</t>
  </si>
  <si>
    <t>N57867828</t>
  </si>
  <si>
    <t>PAMPERO</t>
  </si>
  <si>
    <t>AFILADO DE CADENA</t>
  </si>
  <si>
    <t>BENITEZ</t>
  </si>
  <si>
    <t>ARIEL RODRIGUEZ</t>
  </si>
  <si>
    <t>PINTURAS</t>
  </si>
  <si>
    <t>NUTRIMAX</t>
  </si>
  <si>
    <t>INDUMENTARIA</t>
  </si>
  <si>
    <t>ROPA PERSONAL</t>
  </si>
  <si>
    <t>MANI</t>
  </si>
  <si>
    <t>CONTRATO ALQUILER</t>
  </si>
  <si>
    <t>N57867831</t>
  </si>
  <si>
    <t>VENTA 24/06/2025</t>
  </si>
  <si>
    <t>N° Liq: 24626</t>
  </si>
  <si>
    <t>FA346</t>
  </si>
  <si>
    <t>COMISION TRANSFERE</t>
  </si>
  <si>
    <t>CANCELACION MACRO USD</t>
  </si>
  <si>
    <t>PRESTAMOS 30 MIL USD</t>
  </si>
  <si>
    <t>19. CANC CREDITO MACRO USD</t>
  </si>
  <si>
    <t>CONTABLE</t>
  </si>
  <si>
    <t>UATRE JUNIO</t>
  </si>
  <si>
    <t>PARA PAGO CONCEPTOS</t>
  </si>
  <si>
    <t>N59108400</t>
  </si>
  <si>
    <t>N57867841</t>
  </si>
  <si>
    <t>N57572177</t>
  </si>
  <si>
    <t>FERRERE AGUTIN</t>
  </si>
  <si>
    <t>FA2991</t>
  </si>
  <si>
    <t xml:space="preserve">ALTAMIRANO </t>
  </si>
  <si>
    <t>FA9152</t>
  </si>
  <si>
    <t>N53810375</t>
  </si>
  <si>
    <t>CUOTA 2- 68 TERNEROS</t>
  </si>
  <si>
    <t>N120</t>
  </si>
  <si>
    <t>N59110321</t>
  </si>
  <si>
    <t>N57867837</t>
  </si>
  <si>
    <t>10 Liq.Susc 871158 324771</t>
  </si>
  <si>
    <t>N57867848</t>
  </si>
  <si>
    <t>N57867836</t>
  </si>
  <si>
    <t>FA429</t>
  </si>
  <si>
    <t>GOMERIA CARLITOS</t>
  </si>
  <si>
    <t>MARZO MAYO JUNIO</t>
  </si>
  <si>
    <t>ARREGL DE CUB AUX</t>
  </si>
  <si>
    <t>N121</t>
  </si>
  <si>
    <t>PICADO</t>
  </si>
  <si>
    <t>N57867838</t>
  </si>
  <si>
    <t>10 SOL.RESC 887385 324771</t>
  </si>
  <si>
    <t>DATANET EXENTO - 07089208823-G &amp; E SA</t>
  </si>
  <si>
    <t>CUOTA 4 PAMPA</t>
  </si>
  <si>
    <t>TRANSF 30710771576 VAR LEIVA HERMAN</t>
  </si>
  <si>
    <t>10 SOL.RESC 921516 324771</t>
  </si>
  <si>
    <t>N59298834</t>
  </si>
  <si>
    <t>N59456885</t>
  </si>
  <si>
    <t>N57867835</t>
  </si>
  <si>
    <t>N51936043</t>
  </si>
  <si>
    <t>MDB</t>
  </si>
  <si>
    <t>FA69</t>
  </si>
  <si>
    <t>FA50</t>
  </si>
  <si>
    <t>N59457028</t>
  </si>
  <si>
    <t>10 SOL.RESC 948996 324771</t>
  </si>
  <si>
    <t>CUOTA 1-63+17 TERNEROS</t>
  </si>
  <si>
    <t>CUOTA 1- 25+55 TERNEROS</t>
  </si>
  <si>
    <t>FA 85</t>
  </si>
  <si>
    <t>BIROLO NICOLAS</t>
  </si>
  <si>
    <t>ALQUILER</t>
  </si>
  <si>
    <t>N59456972</t>
  </si>
  <si>
    <t>FA 82</t>
  </si>
  <si>
    <t>TRANSF G Y E SA 30708920882 VAR VARIOS 306174</t>
  </si>
  <si>
    <t>N57867844</t>
  </si>
  <si>
    <t>N57867845</t>
  </si>
  <si>
    <t>N59345484</t>
  </si>
  <si>
    <t>52 NOVILLOS</t>
  </si>
  <si>
    <t>VENTA 10/07/2025</t>
  </si>
  <si>
    <t>FA 813</t>
  </si>
  <si>
    <t>FA 316</t>
  </si>
  <si>
    <t xml:space="preserve">MACRO A SOLA FIRMA </t>
  </si>
  <si>
    <t>CONTRATO FW 120 TN</t>
  </si>
  <si>
    <t>CONSEJO CS EC</t>
  </si>
  <si>
    <t>APROBACION ACTAS</t>
  </si>
  <si>
    <t>ALIMENTOS</t>
  </si>
  <si>
    <t>CONTRATO FW 90 TN</t>
  </si>
  <si>
    <t>90 TN</t>
  </si>
  <si>
    <t>VENTAS NOV</t>
  </si>
  <si>
    <t>COMPRA 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</si>
</sst>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8" formatCode="&quot;$&quot;\ #,##0.00;[Red]\-&quot;$&quot;\ #,##0.00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 &quot;$&quot;\ * #,##0.00_ ;_ &quot;$&quot;\ * \-#,##0.00_ ;_ &quot;$&quot;\ * &quot;-&quot;??_ ;_ @_ "/>
    <numFmt numFmtId="165" formatCode="_-[$USD]\ * #,##0.00_-;\-[$USD]\ * #,##0.00_-;_-[$USD]\ * &quot;-&quot;??_-;_-@_-"/>
    <numFmt numFmtId="166" formatCode="dd/mm/yyyy;@"/>
    <numFmt numFmtId="167" formatCode="0.0%"/>
    <numFmt numFmtId="168" formatCode="_(* #,##0.00_);_(* \(#,##0.00\);_(* &quot;-&quot;??_);_(@_)"/>
    <numFmt numFmtId="169" formatCode="#,##0_ ;\-#,##0\ "/>
    <numFmt numFmtId="170" formatCode="d/m/yy;@"/>
    <numFmt numFmtId="171" formatCode="#,##0.00_ ;\-#,##0.00\ "/>
    <numFmt numFmtId="172" formatCode="&quot;$&quot;\ #,##0.00"/>
    <numFmt numFmtId="173" formatCode="_-&quot;$&quot;\ * #,##0_-;\-&quot;$&quot;\ * #,##0_-;_-&quot;$&quot;\ * &quot;-&quot;??_-;_-@_-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Calibri"/>
      <family val="2"/>
    </font>
    <font>
      <sz val="9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1"/>
      <name val="Book Antiqua"/>
      <family val="1"/>
    </font>
    <font>
      <sz val="11"/>
      <name val="Book Antiqua"/>
      <family val="1"/>
    </font>
    <font>
      <i/>
      <u/>
      <sz val="11"/>
      <name val="Book Antiqua"/>
      <family val="1"/>
    </font>
    <font>
      <sz val="11"/>
      <name val="Arial"/>
      <family val="2"/>
    </font>
    <font>
      <i/>
      <sz val="11"/>
      <name val="Book Antiqua"/>
      <family val="1"/>
    </font>
    <font>
      <b/>
      <sz val="11"/>
      <color rgb="FF00B050"/>
      <name val="Book Antiqua"/>
      <family val="1"/>
    </font>
    <font>
      <b/>
      <sz val="11"/>
      <color rgb="FFFF0000"/>
      <name val="Book Antiqua"/>
      <family val="1"/>
    </font>
    <font>
      <sz val="11"/>
      <color rgb="FF000000"/>
      <name val="Calibri"/>
      <family val="2"/>
      <scheme val="minor"/>
    </font>
    <font>
      <sz val="12"/>
      <color rgb="FF3B3B3B"/>
      <name val="Arial"/>
      <family val="2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rgb="FFC00000"/>
      <name val="Calibri"/>
      <family val="2"/>
      <scheme val="minor"/>
    </font>
    <font>
      <sz val="11"/>
      <color rgb="FFFF0000"/>
      <name val="Book Antiqua"/>
      <family val="1"/>
    </font>
    <font>
      <sz val="11"/>
      <color rgb="FF00B050"/>
      <name val="Book Antiqua"/>
      <family val="1"/>
    </font>
    <font>
      <u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69D44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5D5D"/>
        <bgColor indexed="64"/>
      </patternFill>
    </fill>
    <fill>
      <patternFill patternType="solid">
        <fgColor theme="4" tint="0.39997558519241921"/>
        <bgColor indexed="64"/>
      </patternFill>
    </fill>
  </fills>
  <borders count="47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" fillId="0" borderId="0"/>
    <xf numFmtId="9" fontId="1" fillId="0" borderId="0" applyFont="0" applyFill="0" applyBorder="0" applyAlignment="0" applyProtection="0"/>
    <xf numFmtId="168" fontId="10" fillId="0" borderId="0" applyFont="0" applyFill="0" applyBorder="0" applyAlignment="0" applyProtection="0"/>
  </cellStyleXfs>
  <cellXfs count="409">
    <xf numFmtId="0" fontId="0" fillId="0" borderId="0" xfId="0"/>
    <xf numFmtId="0" fontId="2" fillId="0" borderId="0" xfId="0" applyFont="1"/>
    <xf numFmtId="0" fontId="7" fillId="0" borderId="0" xfId="0" applyFont="1"/>
    <xf numFmtId="0" fontId="4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0" fillId="5" borderId="0" xfId="0" applyFill="1"/>
    <xf numFmtId="0" fontId="0" fillId="2" borderId="0" xfId="0" applyFill="1"/>
    <xf numFmtId="0" fontId="6" fillId="2" borderId="0" xfId="0" applyFont="1" applyFill="1"/>
    <xf numFmtId="0" fontId="5" fillId="2" borderId="0" xfId="0" applyFont="1" applyFill="1" applyAlignment="1">
      <alignment horizontal="center"/>
    </xf>
    <xf numFmtId="0" fontId="4" fillId="6" borderId="0" xfId="0" applyFont="1" applyFill="1"/>
    <xf numFmtId="165" fontId="0" fillId="0" borderId="0" xfId="0" applyNumberFormat="1"/>
    <xf numFmtId="0" fontId="0" fillId="10" borderId="0" xfId="0" applyFill="1"/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right" vertical="center"/>
    </xf>
    <xf numFmtId="0" fontId="2" fillId="2" borderId="17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18" xfId="0" applyFont="1" applyFill="1" applyBorder="1" applyAlignment="1">
      <alignment horizontal="left" vertical="center"/>
    </xf>
    <xf numFmtId="44" fontId="16" fillId="2" borderId="0" xfId="1" applyFont="1" applyFill="1" applyBorder="1" applyAlignment="1">
      <alignment horizontal="center" vertical="center"/>
    </xf>
    <xf numFmtId="44" fontId="16" fillId="2" borderId="19" xfId="1" applyFont="1" applyFill="1" applyBorder="1" applyAlignment="1">
      <alignment horizontal="center" vertical="center"/>
    </xf>
    <xf numFmtId="44" fontId="7" fillId="0" borderId="15" xfId="1" applyFont="1" applyFill="1" applyBorder="1" applyAlignment="1">
      <alignment horizontal="center" vertical="center"/>
    </xf>
    <xf numFmtId="44" fontId="7" fillId="2" borderId="15" xfId="1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left" vertical="center"/>
    </xf>
    <xf numFmtId="44" fontId="2" fillId="2" borderId="0" xfId="1" applyFont="1" applyFill="1" applyBorder="1" applyAlignment="1">
      <alignment horizontal="center" vertical="center"/>
    </xf>
    <xf numFmtId="44" fontId="2" fillId="2" borderId="19" xfId="1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left" vertical="center"/>
    </xf>
    <xf numFmtId="44" fontId="7" fillId="2" borderId="21" xfId="1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left" vertical="center"/>
    </xf>
    <xf numFmtId="44" fontId="7" fillId="2" borderId="22" xfId="1" applyFont="1" applyFill="1" applyBorder="1" applyAlignment="1">
      <alignment horizontal="center" vertical="center"/>
    </xf>
    <xf numFmtId="0" fontId="0" fillId="2" borderId="18" xfId="0" applyFill="1" applyBorder="1" applyAlignment="1">
      <alignment horizontal="left" vertical="center"/>
    </xf>
    <xf numFmtId="44" fontId="1" fillId="2" borderId="0" xfId="1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44" fontId="2" fillId="2" borderId="19" xfId="0" applyNumberFormat="1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left" vertical="center"/>
    </xf>
    <xf numFmtId="44" fontId="6" fillId="2" borderId="0" xfId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7" fillId="0" borderId="0" xfId="0" applyFont="1" applyAlignment="1">
      <alignment horizontal="center" vertical="center"/>
    </xf>
    <xf numFmtId="44" fontId="6" fillId="2" borderId="19" xfId="1" applyFont="1" applyFill="1" applyBorder="1" applyAlignment="1">
      <alignment horizontal="center" vertical="center"/>
    </xf>
    <xf numFmtId="44" fontId="2" fillId="2" borderId="0" xfId="1" applyFont="1" applyFill="1" applyAlignment="1">
      <alignment horizontal="center" vertical="center"/>
    </xf>
    <xf numFmtId="44" fontId="8" fillId="2" borderId="0" xfId="1" applyFont="1" applyFill="1" applyBorder="1" applyAlignment="1">
      <alignment horizontal="center" vertical="center"/>
    </xf>
    <xf numFmtId="17" fontId="6" fillId="2" borderId="0" xfId="0" applyNumberFormat="1" applyFont="1" applyFill="1" applyAlignment="1">
      <alignment horizontal="right" vertical="center"/>
    </xf>
    <xf numFmtId="44" fontId="2" fillId="2" borderId="0" xfId="0" applyNumberFormat="1" applyFont="1" applyFill="1" applyAlignment="1">
      <alignment horizontal="left" vertical="center"/>
    </xf>
    <xf numFmtId="44" fontId="7" fillId="2" borderId="0" xfId="0" applyNumberFormat="1" applyFont="1" applyFill="1" applyAlignment="1">
      <alignment horizontal="center" vertical="center"/>
    </xf>
    <xf numFmtId="0" fontId="6" fillId="2" borderId="18" xfId="0" applyFont="1" applyFill="1" applyBorder="1"/>
    <xf numFmtId="44" fontId="1" fillId="2" borderId="19" xfId="1" applyFont="1" applyFill="1" applyBorder="1" applyAlignment="1">
      <alignment horizontal="center" vertical="center"/>
    </xf>
    <xf numFmtId="44" fontId="7" fillId="2" borderId="19" xfId="1" applyFont="1" applyFill="1" applyBorder="1" applyAlignment="1">
      <alignment horizontal="center" vertical="center"/>
    </xf>
    <xf numFmtId="44" fontId="7" fillId="2" borderId="0" xfId="1" applyFont="1" applyFill="1" applyAlignment="1">
      <alignment horizontal="left" vertical="center"/>
    </xf>
    <xf numFmtId="0" fontId="7" fillId="2" borderId="18" xfId="0" applyFont="1" applyFill="1" applyBorder="1" applyAlignment="1">
      <alignment horizontal="left" vertical="center"/>
    </xf>
    <xf numFmtId="44" fontId="7" fillId="2" borderId="0" xfId="1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7" fillId="2" borderId="18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44" fontId="2" fillId="2" borderId="15" xfId="1" applyFont="1" applyFill="1" applyBorder="1" applyAlignment="1">
      <alignment horizontal="center" vertical="center"/>
    </xf>
    <xf numFmtId="44" fontId="2" fillId="2" borderId="17" xfId="0" applyNumberFormat="1" applyFont="1" applyFill="1" applyBorder="1" applyAlignment="1">
      <alignment horizontal="center" vertical="center"/>
    </xf>
    <xf numFmtId="44" fontId="2" fillId="2" borderId="15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right" vertical="center"/>
    </xf>
    <xf numFmtId="44" fontId="0" fillId="2" borderId="0" xfId="0" applyNumberFormat="1" applyFill="1" applyAlignment="1">
      <alignment horizontal="center" vertical="center"/>
    </xf>
    <xf numFmtId="167" fontId="0" fillId="2" borderId="0" xfId="11" applyNumberFormat="1" applyFont="1" applyFill="1"/>
    <xf numFmtId="44" fontId="2" fillId="2" borderId="0" xfId="0" applyNumberFormat="1" applyFont="1" applyFill="1" applyAlignment="1">
      <alignment horizontal="center" vertical="center"/>
    </xf>
    <xf numFmtId="44" fontId="2" fillId="11" borderId="0" xfId="1" applyFont="1" applyFill="1" applyAlignment="1">
      <alignment horizontal="left" vertical="center"/>
    </xf>
    <xf numFmtId="44" fontId="2" fillId="11" borderId="0" xfId="1" applyFont="1" applyFill="1" applyAlignment="1">
      <alignment vertical="center"/>
    </xf>
    <xf numFmtId="165" fontId="16" fillId="2" borderId="0" xfId="1" applyNumberFormat="1" applyFont="1" applyFill="1" applyBorder="1" applyAlignment="1">
      <alignment horizontal="center" vertical="center"/>
    </xf>
    <xf numFmtId="165" fontId="16" fillId="2" borderId="19" xfId="1" applyNumberFormat="1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left" vertical="center"/>
    </xf>
    <xf numFmtId="165" fontId="7" fillId="2" borderId="21" xfId="1" applyNumberFormat="1" applyFont="1" applyFill="1" applyBorder="1" applyAlignment="1">
      <alignment horizontal="center" vertical="center"/>
    </xf>
    <xf numFmtId="165" fontId="7" fillId="2" borderId="22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center" vertical="center"/>
    </xf>
    <xf numFmtId="165" fontId="2" fillId="2" borderId="19" xfId="1" applyNumberFormat="1" applyFont="1" applyFill="1" applyBorder="1" applyAlignment="1">
      <alignment horizontal="center" vertical="center"/>
    </xf>
    <xf numFmtId="165" fontId="1" fillId="2" borderId="0" xfId="1" applyNumberFormat="1" applyFont="1" applyFill="1" applyBorder="1" applyAlignment="1">
      <alignment horizontal="center" vertical="center"/>
    </xf>
    <xf numFmtId="165" fontId="0" fillId="2" borderId="19" xfId="0" applyNumberFormat="1" applyFill="1" applyBorder="1" applyAlignment="1">
      <alignment horizontal="center" vertical="center"/>
    </xf>
    <xf numFmtId="165" fontId="8" fillId="2" borderId="0" xfId="1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165" fontId="6" fillId="2" borderId="0" xfId="1" applyNumberFormat="1" applyFont="1" applyFill="1" applyBorder="1" applyAlignment="1">
      <alignment horizontal="center" vertical="center"/>
    </xf>
    <xf numFmtId="165" fontId="1" fillId="2" borderId="19" xfId="1" applyNumberFormat="1" applyFont="1" applyFill="1" applyBorder="1" applyAlignment="1">
      <alignment horizontal="center" vertical="center"/>
    </xf>
    <xf numFmtId="165" fontId="2" fillId="2" borderId="19" xfId="0" applyNumberFormat="1" applyFont="1" applyFill="1" applyBorder="1" applyAlignment="1">
      <alignment horizontal="center" vertical="center"/>
    </xf>
    <xf numFmtId="165" fontId="0" fillId="2" borderId="19" xfId="1" applyNumberFormat="1" applyFont="1" applyFill="1" applyBorder="1" applyAlignment="1">
      <alignment horizontal="center" vertical="center"/>
    </xf>
    <xf numFmtId="0" fontId="0" fillId="2" borderId="18" xfId="0" applyFill="1" applyBorder="1"/>
    <xf numFmtId="165" fontId="6" fillId="2" borderId="19" xfId="1" applyNumberFormat="1" applyFont="1" applyFill="1" applyBorder="1" applyAlignment="1">
      <alignment horizontal="center" vertical="center"/>
    </xf>
    <xf numFmtId="165" fontId="7" fillId="2" borderId="19" xfId="1" applyNumberFormat="1" applyFont="1" applyFill="1" applyBorder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165" fontId="2" fillId="2" borderId="17" xfId="0" applyNumberFormat="1" applyFont="1" applyFill="1" applyBorder="1" applyAlignment="1">
      <alignment horizontal="center" vertical="center"/>
    </xf>
    <xf numFmtId="165" fontId="0" fillId="2" borderId="0" xfId="0" applyNumberFormat="1" applyFill="1"/>
    <xf numFmtId="165" fontId="2" fillId="2" borderId="24" xfId="0" applyNumberFormat="1" applyFont="1" applyFill="1" applyBorder="1" applyAlignment="1">
      <alignment horizontal="center" vertical="center"/>
    </xf>
    <xf numFmtId="0" fontId="0" fillId="2" borderId="24" xfId="0" applyFill="1" applyBorder="1" applyAlignment="1">
      <alignment horizontal="left" vertical="center"/>
    </xf>
    <xf numFmtId="165" fontId="2" fillId="2" borderId="15" xfId="1" applyNumberFormat="1" applyFont="1" applyFill="1" applyBorder="1" applyAlignment="1">
      <alignment horizontal="center" vertical="center"/>
    </xf>
    <xf numFmtId="165" fontId="2" fillId="2" borderId="15" xfId="0" applyNumberFormat="1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left" vertical="center"/>
    </xf>
    <xf numFmtId="44" fontId="7" fillId="2" borderId="21" xfId="1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Alignment="1" applyProtection="1">
      <alignment horizontal="left"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7" fillId="2" borderId="24" xfId="0" applyFont="1" applyFill="1" applyBorder="1" applyAlignment="1" applyProtection="1">
      <alignment horizontal="center" vertical="center"/>
      <protection locked="0"/>
    </xf>
    <xf numFmtId="44" fontId="2" fillId="2" borderId="15" xfId="0" applyNumberFormat="1" applyFont="1" applyFill="1" applyBorder="1" applyAlignment="1" applyProtection="1">
      <alignment horizontal="left" vertical="center"/>
      <protection locked="0"/>
    </xf>
    <xf numFmtId="44" fontId="7" fillId="2" borderId="15" xfId="1" applyFont="1" applyFill="1" applyBorder="1" applyAlignment="1" applyProtection="1">
      <alignment horizontal="center" vertical="center"/>
      <protection locked="0"/>
    </xf>
    <xf numFmtId="44" fontId="7" fillId="2" borderId="22" xfId="1" applyFont="1" applyFill="1" applyBorder="1" applyAlignment="1" applyProtection="1">
      <alignment horizontal="center" vertical="center"/>
      <protection locked="0"/>
    </xf>
    <xf numFmtId="44" fontId="6" fillId="2" borderId="19" xfId="1" applyFont="1" applyFill="1" applyBorder="1" applyAlignment="1" applyProtection="1">
      <alignment horizontal="center" vertical="center"/>
      <protection locked="0"/>
    </xf>
    <xf numFmtId="44" fontId="6" fillId="2" borderId="0" xfId="1" applyFont="1" applyFill="1" applyAlignment="1" applyProtection="1">
      <alignment horizontal="right" vertical="center"/>
      <protection locked="0"/>
    </xf>
    <xf numFmtId="44" fontId="7" fillId="2" borderId="0" xfId="1" applyFont="1" applyFill="1" applyAlignment="1" applyProtection="1">
      <alignment horizontal="center" vertical="center"/>
      <protection locked="0"/>
    </xf>
    <xf numFmtId="44" fontId="6" fillId="2" borderId="0" xfId="1" applyFont="1" applyFill="1" applyAlignment="1" applyProtection="1">
      <alignment horizontal="left" vertical="center"/>
      <protection locked="0"/>
    </xf>
    <xf numFmtId="44" fontId="2" fillId="2" borderId="15" xfId="0" applyNumberFormat="1" applyFont="1" applyFill="1" applyBorder="1" applyAlignment="1" applyProtection="1">
      <alignment horizontal="right" vertical="center"/>
      <protection locked="0"/>
    </xf>
    <xf numFmtId="44" fontId="11" fillId="2" borderId="0" xfId="0" applyNumberFormat="1" applyFont="1" applyFill="1" applyAlignment="1">
      <alignment horizontal="center" vertical="center"/>
    </xf>
    <xf numFmtId="44" fontId="0" fillId="2" borderId="0" xfId="1" applyFont="1" applyFill="1"/>
    <xf numFmtId="0" fontId="2" fillId="2" borderId="0" xfId="0" applyFont="1" applyFill="1" applyAlignment="1">
      <alignment horizontal="right" vertical="center"/>
    </xf>
    <xf numFmtId="44" fontId="6" fillId="2" borderId="0" xfId="1" applyFont="1" applyFill="1" applyBorder="1" applyAlignment="1" applyProtection="1">
      <alignment horizontal="center" vertical="center"/>
      <protection locked="0"/>
    </xf>
    <xf numFmtId="44" fontId="7" fillId="2" borderId="20" xfId="1" applyFont="1" applyFill="1" applyBorder="1" applyAlignment="1">
      <alignment horizontal="center" vertical="center"/>
    </xf>
    <xf numFmtId="44" fontId="7" fillId="2" borderId="18" xfId="1" applyFont="1" applyFill="1" applyBorder="1" applyAlignment="1">
      <alignment horizontal="center" vertical="center"/>
    </xf>
    <xf numFmtId="44" fontId="6" fillId="2" borderId="18" xfId="1" applyFont="1" applyFill="1" applyBorder="1" applyAlignment="1">
      <alignment horizontal="center" vertical="center"/>
    </xf>
    <xf numFmtId="44" fontId="6" fillId="2" borderId="23" xfId="1" applyFont="1" applyFill="1" applyBorder="1" applyAlignment="1">
      <alignment horizontal="center" vertical="center"/>
    </xf>
    <xf numFmtId="44" fontId="0" fillId="2" borderId="0" xfId="0" applyNumberFormat="1" applyFill="1"/>
    <xf numFmtId="44" fontId="8" fillId="2" borderId="19" xfId="1" applyFont="1" applyFill="1" applyBorder="1" applyAlignment="1" applyProtection="1">
      <alignment horizontal="center" vertical="center"/>
      <protection locked="0"/>
    </xf>
    <xf numFmtId="44" fontId="7" fillId="2" borderId="19" xfId="1" applyFont="1" applyFill="1" applyBorder="1" applyAlignment="1" applyProtection="1">
      <alignment horizontal="center" vertical="center"/>
      <protection locked="0"/>
    </xf>
    <xf numFmtId="44" fontId="6" fillId="2" borderId="19" xfId="1" applyFont="1" applyFill="1" applyBorder="1" applyAlignment="1" applyProtection="1">
      <alignment horizontal="left" vertical="center"/>
      <protection locked="0"/>
    </xf>
    <xf numFmtId="44" fontId="6" fillId="2" borderId="19" xfId="1" applyFont="1" applyFill="1" applyBorder="1" applyProtection="1">
      <protection locked="0"/>
    </xf>
    <xf numFmtId="44" fontId="8" fillId="2" borderId="19" xfId="1" applyFont="1" applyFill="1" applyBorder="1" applyAlignment="1" applyProtection="1">
      <alignment horizontal="left" vertical="center"/>
      <protection locked="0"/>
    </xf>
    <xf numFmtId="44" fontId="15" fillId="2" borderId="0" xfId="1" applyFont="1" applyFill="1"/>
    <xf numFmtId="44" fontId="20" fillId="2" borderId="0" xfId="1" applyFont="1" applyFill="1"/>
    <xf numFmtId="44" fontId="19" fillId="2" borderId="0" xfId="1" applyFont="1" applyFill="1"/>
    <xf numFmtId="44" fontId="6" fillId="2" borderId="0" xfId="1" applyFont="1" applyFill="1"/>
    <xf numFmtId="165" fontId="6" fillId="2" borderId="0" xfId="0" applyNumberFormat="1" applyFont="1" applyFill="1"/>
    <xf numFmtId="44" fontId="21" fillId="2" borderId="0" xfId="1" applyFont="1" applyFill="1"/>
    <xf numFmtId="44" fontId="8" fillId="2" borderId="0" xfId="1" applyFont="1" applyFill="1" applyAlignment="1">
      <alignment vertical="center"/>
    </xf>
    <xf numFmtId="44" fontId="21" fillId="0" borderId="0" xfId="1" applyFont="1"/>
    <xf numFmtId="169" fontId="23" fillId="0" borderId="0" xfId="12" applyNumberFormat="1" applyFont="1"/>
    <xf numFmtId="169" fontId="22" fillId="0" borderId="0" xfId="12" applyNumberFormat="1" applyFont="1" applyAlignment="1">
      <alignment horizontal="right"/>
    </xf>
    <xf numFmtId="169" fontId="24" fillId="0" borderId="0" xfId="12" applyNumberFormat="1" applyFont="1" applyAlignment="1">
      <alignment horizontal="center"/>
    </xf>
    <xf numFmtId="169" fontId="22" fillId="0" borderId="0" xfId="12" applyNumberFormat="1" applyFont="1" applyAlignment="1">
      <alignment horizontal="center"/>
    </xf>
    <xf numFmtId="169" fontId="23" fillId="0" borderId="0" xfId="12" applyNumberFormat="1" applyFont="1" applyAlignment="1">
      <alignment horizontal="center"/>
    </xf>
    <xf numFmtId="169" fontId="22" fillId="0" borderId="0" xfId="12" quotePrefix="1" applyNumberFormat="1" applyFont="1" applyAlignment="1">
      <alignment horizontal="center"/>
    </xf>
    <xf numFmtId="169" fontId="22" fillId="0" borderId="18" xfId="12" applyNumberFormat="1" applyFont="1" applyBorder="1" applyAlignment="1">
      <alignment horizontal="center"/>
    </xf>
    <xf numFmtId="169" fontId="22" fillId="0" borderId="0" xfId="12" applyNumberFormat="1" applyFont="1" applyAlignment="1">
      <alignment vertical="center"/>
    </xf>
    <xf numFmtId="169" fontId="23" fillId="0" borderId="0" xfId="12" applyNumberFormat="1" applyFont="1" applyAlignment="1">
      <alignment vertical="center"/>
    </xf>
    <xf numFmtId="169" fontId="26" fillId="0" borderId="0" xfId="12" applyNumberFormat="1" applyFont="1" applyAlignment="1">
      <alignment horizontal="left"/>
    </xf>
    <xf numFmtId="169" fontId="23" fillId="0" borderId="21" xfId="12" applyNumberFormat="1" applyFont="1" applyBorder="1"/>
    <xf numFmtId="169" fontId="22" fillId="2" borderId="27" xfId="12" applyNumberFormat="1" applyFont="1" applyFill="1" applyBorder="1" applyAlignment="1">
      <alignment horizontal="center" vertical="center"/>
    </xf>
    <xf numFmtId="169" fontId="22" fillId="2" borderId="28" xfId="12" applyNumberFormat="1" applyFont="1" applyFill="1" applyBorder="1" applyAlignment="1">
      <alignment horizontal="center" vertical="center"/>
    </xf>
    <xf numFmtId="169" fontId="22" fillId="2" borderId="28" xfId="12" applyNumberFormat="1" applyFont="1" applyFill="1" applyBorder="1" applyAlignment="1">
      <alignment horizontal="center"/>
    </xf>
    <xf numFmtId="169" fontId="22" fillId="2" borderId="32" xfId="12" applyNumberFormat="1" applyFont="1" applyFill="1" applyBorder="1" applyAlignment="1">
      <alignment horizontal="center"/>
    </xf>
    <xf numFmtId="169" fontId="25" fillId="2" borderId="33" xfId="12" applyNumberFormat="1" applyFont="1" applyFill="1" applyBorder="1" applyAlignment="1">
      <alignment horizontal="center" vertical="center"/>
    </xf>
    <xf numFmtId="169" fontId="22" fillId="2" borderId="34" xfId="12" applyNumberFormat="1" applyFont="1" applyFill="1" applyBorder="1" applyAlignment="1">
      <alignment horizontal="center" vertical="center"/>
    </xf>
    <xf numFmtId="169" fontId="22" fillId="2" borderId="34" xfId="12" applyNumberFormat="1" applyFont="1" applyFill="1" applyBorder="1" applyAlignment="1">
      <alignment horizontal="center"/>
    </xf>
    <xf numFmtId="169" fontId="25" fillId="2" borderId="18" xfId="12" applyNumberFormat="1" applyFont="1" applyFill="1" applyBorder="1" applyAlignment="1">
      <alignment horizontal="center" vertical="center"/>
    </xf>
    <xf numFmtId="169" fontId="25" fillId="2" borderId="0" xfId="12" applyNumberFormat="1" applyFont="1" applyFill="1" applyAlignment="1">
      <alignment horizontal="center" vertical="center"/>
    </xf>
    <xf numFmtId="169" fontId="25" fillId="2" borderId="19" xfId="12" applyNumberFormat="1" applyFont="1" applyFill="1" applyBorder="1" applyAlignment="1">
      <alignment horizontal="center" vertical="center"/>
    </xf>
    <xf numFmtId="169" fontId="22" fillId="2" borderId="35" xfId="12" applyNumberFormat="1" applyFont="1" applyFill="1" applyBorder="1" applyAlignment="1">
      <alignment horizontal="center"/>
    </xf>
    <xf numFmtId="169" fontId="25" fillId="2" borderId="23" xfId="12" applyNumberFormat="1" applyFont="1" applyFill="1" applyBorder="1" applyAlignment="1">
      <alignment horizontal="center" vertical="center"/>
    </xf>
    <xf numFmtId="169" fontId="25" fillId="2" borderId="24" xfId="12" applyNumberFormat="1" applyFont="1" applyFill="1" applyBorder="1" applyAlignment="1">
      <alignment horizontal="center" vertical="center"/>
    </xf>
    <xf numFmtId="169" fontId="25" fillId="2" borderId="25" xfId="12" applyNumberFormat="1" applyFont="1" applyFill="1" applyBorder="1" applyAlignment="1">
      <alignment horizontal="center" vertical="center"/>
    </xf>
    <xf numFmtId="170" fontId="22" fillId="2" borderId="35" xfId="12" applyNumberFormat="1" applyFont="1" applyFill="1" applyBorder="1" applyAlignment="1">
      <alignment horizontal="center"/>
    </xf>
    <xf numFmtId="169" fontId="25" fillId="2" borderId="36" xfId="12" applyNumberFormat="1" applyFont="1" applyFill="1" applyBorder="1" applyAlignment="1">
      <alignment horizontal="center" vertical="center"/>
    </xf>
    <xf numFmtId="169" fontId="22" fillId="2" borderId="37" xfId="12" quotePrefix="1" applyNumberFormat="1" applyFont="1" applyFill="1" applyBorder="1" applyAlignment="1">
      <alignment horizontal="center" vertical="center"/>
    </xf>
    <xf numFmtId="169" fontId="22" fillId="2" borderId="37" xfId="12" quotePrefix="1" applyNumberFormat="1" applyFont="1" applyFill="1" applyBorder="1" applyAlignment="1">
      <alignment horizontal="center"/>
    </xf>
    <xf numFmtId="169" fontId="22" fillId="2" borderId="37" xfId="12" applyNumberFormat="1" applyFont="1" applyFill="1" applyBorder="1" applyAlignment="1">
      <alignment horizontal="center"/>
    </xf>
    <xf numFmtId="169" fontId="22" fillId="2" borderId="38" xfId="12" applyNumberFormat="1" applyFont="1" applyFill="1" applyBorder="1" applyAlignment="1">
      <alignment horizontal="center"/>
    </xf>
    <xf numFmtId="169" fontId="23" fillId="2" borderId="39" xfId="12" applyNumberFormat="1" applyFont="1" applyFill="1" applyBorder="1" applyAlignment="1">
      <alignment vertical="center"/>
    </xf>
    <xf numFmtId="169" fontId="23" fillId="2" borderId="29" xfId="12" applyNumberFormat="1" applyFont="1" applyFill="1" applyBorder="1" applyAlignment="1">
      <alignment vertical="center"/>
    </xf>
    <xf numFmtId="169" fontId="22" fillId="2" borderId="32" xfId="12" applyNumberFormat="1" applyFont="1" applyFill="1" applyBorder="1" applyAlignment="1">
      <alignment vertical="center"/>
    </xf>
    <xf numFmtId="169" fontId="23" fillId="2" borderId="40" xfId="12" applyNumberFormat="1" applyFont="1" applyFill="1" applyBorder="1" applyAlignment="1">
      <alignment vertical="center"/>
    </xf>
    <xf numFmtId="169" fontId="23" fillId="2" borderId="18" xfId="12" applyNumberFormat="1" applyFont="1" applyFill="1" applyBorder="1" applyAlignment="1">
      <alignment vertical="center"/>
    </xf>
    <xf numFmtId="169" fontId="23" fillId="2" borderId="34" xfId="12" applyNumberFormat="1" applyFont="1" applyFill="1" applyBorder="1" applyAlignment="1">
      <alignment vertical="center"/>
    </xf>
    <xf numFmtId="169" fontId="23" fillId="2" borderId="0" xfId="12" applyNumberFormat="1" applyFont="1" applyFill="1" applyAlignment="1">
      <alignment vertical="center"/>
    </xf>
    <xf numFmtId="169" fontId="23" fillId="2" borderId="35" xfId="12" applyNumberFormat="1" applyFont="1" applyFill="1" applyBorder="1" applyAlignment="1">
      <alignment vertical="center"/>
    </xf>
    <xf numFmtId="169" fontId="22" fillId="2" borderId="0" xfId="12" applyNumberFormat="1" applyFont="1" applyFill="1"/>
    <xf numFmtId="169" fontId="23" fillId="2" borderId="0" xfId="12" applyNumberFormat="1" applyFont="1" applyFill="1"/>
    <xf numFmtId="169" fontId="22" fillId="2" borderId="0" xfId="12" applyNumberFormat="1" applyFont="1" applyFill="1" applyAlignment="1">
      <alignment horizontal="right"/>
    </xf>
    <xf numFmtId="169" fontId="23" fillId="2" borderId="0" xfId="12" applyNumberFormat="1" applyFont="1" applyFill="1" applyAlignment="1">
      <alignment horizontal="center"/>
    </xf>
    <xf numFmtId="169" fontId="22" fillId="2" borderId="26" xfId="12" applyNumberFormat="1" applyFont="1" applyFill="1" applyBorder="1"/>
    <xf numFmtId="169" fontId="23" fillId="2" borderId="26" xfId="12" applyNumberFormat="1" applyFont="1" applyFill="1" applyBorder="1"/>
    <xf numFmtId="169" fontId="22" fillId="2" borderId="0" xfId="12" quotePrefix="1" applyNumberFormat="1" applyFont="1" applyFill="1" applyAlignment="1">
      <alignment horizontal="center"/>
    </xf>
    <xf numFmtId="169" fontId="22" fillId="2" borderId="41" xfId="12" applyNumberFormat="1" applyFont="1" applyFill="1" applyBorder="1" applyAlignment="1">
      <alignment vertical="center"/>
    </xf>
    <xf numFmtId="169" fontId="23" fillId="2" borderId="42" xfId="12" applyNumberFormat="1" applyFont="1" applyFill="1" applyBorder="1" applyAlignment="1">
      <alignment vertical="center"/>
    </xf>
    <xf numFmtId="169" fontId="22" fillId="2" borderId="44" xfId="12" applyNumberFormat="1" applyFont="1" applyFill="1" applyBorder="1" applyAlignment="1">
      <alignment vertical="center"/>
    </xf>
    <xf numFmtId="44" fontId="23" fillId="2" borderId="20" xfId="1" applyFont="1" applyFill="1" applyBorder="1" applyAlignment="1">
      <alignment vertical="center"/>
    </xf>
    <xf numFmtId="44" fontId="23" fillId="2" borderId="18" xfId="1" applyFont="1" applyFill="1" applyBorder="1" applyAlignment="1">
      <alignment vertical="center"/>
    </xf>
    <xf numFmtId="44" fontId="23" fillId="2" borderId="34" xfId="1" applyFont="1" applyFill="1" applyBorder="1" applyAlignment="1">
      <alignment vertical="center"/>
    </xf>
    <xf numFmtId="44" fontId="23" fillId="2" borderId="0" xfId="1" applyFont="1" applyFill="1" applyAlignment="1">
      <alignment vertical="center"/>
    </xf>
    <xf numFmtId="44" fontId="23" fillId="2" borderId="0" xfId="1" applyFont="1" applyFill="1" applyBorder="1" applyAlignment="1">
      <alignment vertical="center"/>
    </xf>
    <xf numFmtId="44" fontId="23" fillId="2" borderId="35" xfId="1" applyFont="1" applyFill="1" applyBorder="1" applyAlignment="1">
      <alignment vertical="center"/>
    </xf>
    <xf numFmtId="169" fontId="22" fillId="2" borderId="40" xfId="12" applyNumberFormat="1" applyFont="1" applyFill="1" applyBorder="1" applyAlignment="1">
      <alignment vertical="center"/>
    </xf>
    <xf numFmtId="169" fontId="22" fillId="2" borderId="42" xfId="12" applyNumberFormat="1" applyFont="1" applyFill="1" applyBorder="1" applyAlignment="1">
      <alignment vertical="center"/>
    </xf>
    <xf numFmtId="171" fontId="23" fillId="2" borderId="18" xfId="12" applyNumberFormat="1" applyFont="1" applyFill="1" applyBorder="1" applyAlignment="1">
      <alignment vertical="center"/>
    </xf>
    <xf numFmtId="44" fontId="22" fillId="2" borderId="37" xfId="1" applyFont="1" applyFill="1" applyBorder="1" applyAlignment="1">
      <alignment vertical="center"/>
    </xf>
    <xf numFmtId="44" fontId="22" fillId="2" borderId="43" xfId="1" applyFont="1" applyFill="1" applyBorder="1" applyAlignment="1">
      <alignment vertical="center"/>
    </xf>
    <xf numFmtId="169" fontId="23" fillId="2" borderId="40" xfId="12" applyNumberFormat="1" applyFont="1" applyFill="1" applyBorder="1" applyAlignment="1">
      <alignment horizontal="left" vertical="center"/>
    </xf>
    <xf numFmtId="44" fontId="28" fillId="2" borderId="18" xfId="1" applyFont="1" applyFill="1" applyBorder="1" applyAlignment="1">
      <alignment vertical="center"/>
    </xf>
    <xf numFmtId="44" fontId="22" fillId="2" borderId="38" xfId="1" applyFont="1" applyFill="1" applyBorder="1" applyAlignment="1">
      <alignment vertical="center"/>
    </xf>
    <xf numFmtId="44" fontId="22" fillId="7" borderId="45" xfId="1" applyFont="1" applyFill="1" applyBorder="1" applyAlignment="1">
      <alignment vertical="center"/>
    </xf>
    <xf numFmtId="0" fontId="3" fillId="2" borderId="0" xfId="0" applyFont="1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2" fillId="2" borderId="1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1" xfId="0" applyFont="1" applyFill="1" applyBorder="1" applyAlignment="1">
      <alignment horizontal="left"/>
    </xf>
    <xf numFmtId="44" fontId="0" fillId="2" borderId="1" xfId="0" applyNumberFormat="1" applyFill="1" applyBorder="1"/>
    <xf numFmtId="44" fontId="0" fillId="2" borderId="5" xfId="0" applyNumberFormat="1" applyFill="1" applyBorder="1"/>
    <xf numFmtId="44" fontId="2" fillId="2" borderId="6" xfId="0" applyNumberFormat="1" applyFont="1" applyFill="1" applyBorder="1"/>
    <xf numFmtId="0" fontId="2" fillId="2" borderId="4" xfId="0" applyFont="1" applyFill="1" applyBorder="1" applyAlignment="1">
      <alignment horizontal="left"/>
    </xf>
    <xf numFmtId="44" fontId="0" fillId="2" borderId="4" xfId="0" applyNumberFormat="1" applyFill="1" applyBorder="1"/>
    <xf numFmtId="44" fontId="0" fillId="2" borderId="7" xfId="0" applyNumberFormat="1" applyFill="1" applyBorder="1"/>
    <xf numFmtId="44" fontId="2" fillId="2" borderId="8" xfId="0" applyNumberFormat="1" applyFont="1" applyFill="1" applyBorder="1"/>
    <xf numFmtId="0" fontId="2" fillId="2" borderId="9" xfId="0" applyFont="1" applyFill="1" applyBorder="1" applyAlignment="1">
      <alignment horizontal="left"/>
    </xf>
    <xf numFmtId="44" fontId="2" fillId="2" borderId="9" xfId="0" applyNumberFormat="1" applyFont="1" applyFill="1" applyBorder="1"/>
    <xf numFmtId="44" fontId="2" fillId="2" borderId="10" xfId="0" applyNumberFormat="1" applyFont="1" applyFill="1" applyBorder="1"/>
    <xf numFmtId="0" fontId="2" fillId="2" borderId="12" xfId="0" applyFont="1" applyFill="1" applyBorder="1"/>
    <xf numFmtId="165" fontId="0" fillId="2" borderId="7" xfId="0" applyNumberFormat="1" applyFill="1" applyBorder="1"/>
    <xf numFmtId="165" fontId="0" fillId="2" borderId="13" xfId="0" applyNumberFormat="1" applyFill="1" applyBorder="1"/>
    <xf numFmtId="44" fontId="7" fillId="2" borderId="17" xfId="1" applyFont="1" applyFill="1" applyBorder="1" applyAlignment="1">
      <alignment horizontal="center" vertical="center"/>
    </xf>
    <xf numFmtId="44" fontId="6" fillId="2" borderId="19" xfId="0" applyNumberFormat="1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44" fontId="2" fillId="2" borderId="17" xfId="1" applyFont="1" applyFill="1" applyBorder="1" applyAlignment="1">
      <alignment horizontal="center" vertical="center"/>
    </xf>
    <xf numFmtId="0" fontId="2" fillId="2" borderId="0" xfId="0" applyFont="1" applyFill="1"/>
    <xf numFmtId="44" fontId="2" fillId="2" borderId="0" xfId="11" applyNumberFormat="1" applyFont="1" applyFill="1" applyAlignment="1">
      <alignment horizontal="left" vertical="center"/>
    </xf>
    <xf numFmtId="10" fontId="2" fillId="2" borderId="0" xfId="11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4" fontId="2" fillId="2" borderId="24" xfId="0" applyNumberFormat="1" applyFont="1" applyFill="1" applyBorder="1" applyAlignment="1">
      <alignment horizontal="center" vertical="center"/>
    </xf>
    <xf numFmtId="0" fontId="2" fillId="2" borderId="24" xfId="0" applyFont="1" applyFill="1" applyBorder="1"/>
    <xf numFmtId="0" fontId="2" fillId="2" borderId="15" xfId="0" applyFont="1" applyFill="1" applyBorder="1"/>
    <xf numFmtId="44" fontId="2" fillId="2" borderId="15" xfId="1" applyFont="1" applyFill="1" applyBorder="1"/>
    <xf numFmtId="44" fontId="2" fillId="2" borderId="0" xfId="1" applyFont="1" applyFill="1" applyBorder="1" applyAlignment="1">
      <alignment horizontal="center"/>
    </xf>
    <xf numFmtId="44" fontId="2" fillId="2" borderId="0" xfId="1" applyFont="1" applyFill="1" applyBorder="1"/>
    <xf numFmtId="0" fontId="2" fillId="2" borderId="21" xfId="0" applyFont="1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67" fontId="1" fillId="2" borderId="0" xfId="11" applyNumberFormat="1" applyFont="1" applyFill="1" applyBorder="1" applyAlignment="1">
      <alignment horizontal="center"/>
    </xf>
    <xf numFmtId="167" fontId="2" fillId="2" borderId="0" xfId="0" applyNumberFormat="1" applyFon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0" fontId="0" fillId="2" borderId="0" xfId="11" applyNumberFormat="1" applyFont="1" applyFill="1"/>
    <xf numFmtId="0" fontId="2" fillId="11" borderId="24" xfId="0" applyFont="1" applyFill="1" applyBorder="1"/>
    <xf numFmtId="0" fontId="2" fillId="11" borderId="0" xfId="0" applyFont="1" applyFill="1"/>
    <xf numFmtId="0" fontId="0" fillId="11" borderId="0" xfId="0" applyFill="1" applyAlignment="1">
      <alignment horizontal="right"/>
    </xf>
    <xf numFmtId="0" fontId="0" fillId="11" borderId="0" xfId="0" applyFill="1"/>
    <xf numFmtId="0" fontId="2" fillId="11" borderId="21" xfId="0" applyFont="1" applyFill="1" applyBorder="1" applyAlignment="1">
      <alignment horizontal="left"/>
    </xf>
    <xf numFmtId="172" fontId="0" fillId="11" borderId="0" xfId="0" applyNumberFormat="1" applyFill="1" applyAlignment="1">
      <alignment horizontal="right"/>
    </xf>
    <xf numFmtId="0" fontId="2" fillId="11" borderId="0" xfId="0" applyFont="1" applyFill="1" applyAlignment="1">
      <alignment horizontal="left"/>
    </xf>
    <xf numFmtId="0" fontId="2" fillId="11" borderId="0" xfId="0" applyFont="1" applyFill="1" applyAlignment="1">
      <alignment horizontal="center"/>
    </xf>
    <xf numFmtId="0" fontId="0" fillId="2" borderId="4" xfId="0" applyFill="1" applyBorder="1" applyAlignment="1">
      <alignment horizontal="left" indent="2"/>
    </xf>
    <xf numFmtId="166" fontId="0" fillId="11" borderId="0" xfId="0" applyNumberFormat="1" applyFill="1"/>
    <xf numFmtId="166" fontId="0" fillId="11" borderId="0" xfId="0" applyNumberFormat="1" applyFill="1" applyAlignment="1">
      <alignment horizontal="center"/>
    </xf>
    <xf numFmtId="44" fontId="0" fillId="11" borderId="0" xfId="1" applyFont="1" applyFill="1"/>
    <xf numFmtId="14" fontId="0" fillId="11" borderId="0" xfId="0" applyNumberFormat="1" applyFill="1" applyAlignment="1">
      <alignment horizontal="center"/>
    </xf>
    <xf numFmtId="166" fontId="6" fillId="11" borderId="0" xfId="0" applyNumberFormat="1" applyFont="1" applyFill="1" applyAlignment="1">
      <alignment horizontal="center"/>
    </xf>
    <xf numFmtId="0" fontId="6" fillId="11" borderId="0" xfId="0" applyFont="1" applyFill="1"/>
    <xf numFmtId="44" fontId="6" fillId="11" borderId="0" xfId="1" applyFont="1" applyFill="1"/>
    <xf numFmtId="165" fontId="2" fillId="9" borderId="0" xfId="0" applyNumberFormat="1" applyFont="1" applyFill="1" applyAlignment="1">
      <alignment horizontal="center" vertical="center"/>
    </xf>
    <xf numFmtId="44" fontId="2" fillId="2" borderId="0" xfId="0" applyNumberFormat="1" applyFont="1" applyFill="1"/>
    <xf numFmtId="44" fontId="2" fillId="2" borderId="0" xfId="1" applyFont="1" applyFill="1"/>
    <xf numFmtId="165" fontId="2" fillId="2" borderId="10" xfId="0" applyNumberFormat="1" applyFont="1" applyFill="1" applyBorder="1"/>
    <xf numFmtId="165" fontId="2" fillId="2" borderId="14" xfId="0" applyNumberFormat="1" applyFont="1" applyFill="1" applyBorder="1"/>
    <xf numFmtId="167" fontId="7" fillId="2" borderId="0" xfId="11" applyNumberFormat="1" applyFont="1" applyFill="1" applyAlignment="1">
      <alignment horizontal="center" vertical="center"/>
    </xf>
    <xf numFmtId="0" fontId="0" fillId="2" borderId="5" xfId="0" applyFill="1" applyBorder="1"/>
    <xf numFmtId="14" fontId="0" fillId="2" borderId="0" xfId="0" applyNumberFormat="1" applyFill="1" applyAlignment="1">
      <alignment horizontal="left"/>
    </xf>
    <xf numFmtId="0" fontId="0" fillId="2" borderId="0" xfId="0" applyFill="1" applyAlignment="1">
      <alignment horizontal="center"/>
    </xf>
    <xf numFmtId="0" fontId="0" fillId="2" borderId="24" xfId="0" applyFill="1" applyBorder="1" applyAlignment="1">
      <alignment horizontal="left"/>
    </xf>
    <xf numFmtId="0" fontId="0" fillId="0" borderId="24" xfId="0" applyBorder="1"/>
    <xf numFmtId="0" fontId="0" fillId="2" borderId="24" xfId="0" applyFill="1" applyBorder="1"/>
    <xf numFmtId="44" fontId="8" fillId="2" borderId="0" xfId="1" applyFont="1" applyFill="1"/>
    <xf numFmtId="44" fontId="32" fillId="2" borderId="0" xfId="1" applyFont="1" applyFill="1"/>
    <xf numFmtId="166" fontId="8" fillId="11" borderId="0" xfId="0" applyNumberFormat="1" applyFont="1" applyFill="1"/>
    <xf numFmtId="166" fontId="8" fillId="11" borderId="0" xfId="0" applyNumberFormat="1" applyFont="1" applyFill="1" applyAlignment="1">
      <alignment horizontal="center"/>
    </xf>
    <xf numFmtId="0" fontId="8" fillId="11" borderId="0" xfId="0" applyFont="1" applyFill="1"/>
    <xf numFmtId="44" fontId="8" fillId="11" borderId="0" xfId="1" applyFont="1" applyFill="1"/>
    <xf numFmtId="165" fontId="8" fillId="2" borderId="0" xfId="0" applyNumberFormat="1" applyFont="1" applyFill="1"/>
    <xf numFmtId="0" fontId="8" fillId="2" borderId="0" xfId="0" applyFont="1" applyFill="1"/>
    <xf numFmtId="166" fontId="6" fillId="11" borderId="0" xfId="0" applyNumberFormat="1" applyFont="1" applyFill="1"/>
    <xf numFmtId="44" fontId="35" fillId="0" borderId="0" xfId="1" applyFont="1"/>
    <xf numFmtId="44" fontId="35" fillId="2" borderId="0" xfId="1" applyFont="1" applyFill="1"/>
    <xf numFmtId="44" fontId="6" fillId="0" borderId="0" xfId="1" applyFont="1"/>
    <xf numFmtId="0" fontId="6" fillId="0" borderId="0" xfId="0" applyFont="1"/>
    <xf numFmtId="0" fontId="37" fillId="2" borderId="1" xfId="0" applyFont="1" applyFill="1" applyBorder="1"/>
    <xf numFmtId="0" fontId="38" fillId="2" borderId="1" xfId="0" applyFont="1" applyFill="1" applyBorder="1"/>
    <xf numFmtId="10" fontId="2" fillId="2" borderId="0" xfId="11" applyNumberFormat="1" applyFont="1" applyFill="1"/>
    <xf numFmtId="44" fontId="17" fillId="2" borderId="0" xfId="1" applyFont="1" applyFill="1" applyAlignment="1" applyProtection="1">
      <alignment horizontal="center" vertical="center"/>
      <protection locked="0"/>
    </xf>
    <xf numFmtId="173" fontId="2" fillId="2" borderId="0" xfId="0" applyNumberFormat="1" applyFont="1" applyFill="1" applyAlignment="1">
      <alignment horizontal="center" vertical="center"/>
    </xf>
    <xf numFmtId="0" fontId="39" fillId="2" borderId="0" xfId="0" applyFont="1" applyFill="1"/>
    <xf numFmtId="44" fontId="2" fillId="11" borderId="4" xfId="0" applyNumberFormat="1" applyFont="1" applyFill="1" applyBorder="1"/>
    <xf numFmtId="44" fontId="2" fillId="11" borderId="7" xfId="0" applyNumberFormat="1" applyFont="1" applyFill="1" applyBorder="1"/>
    <xf numFmtId="165" fontId="2" fillId="11" borderId="7" xfId="0" applyNumberFormat="1" applyFont="1" applyFill="1" applyBorder="1"/>
    <xf numFmtId="165" fontId="2" fillId="11" borderId="13" xfId="0" applyNumberFormat="1" applyFont="1" applyFill="1" applyBorder="1"/>
    <xf numFmtId="0" fontId="6" fillId="12" borderId="0" xfId="0" applyFont="1" applyFill="1" applyAlignment="1">
      <alignment horizontal="left" vertical="center"/>
    </xf>
    <xf numFmtId="44" fontId="6" fillId="12" borderId="0" xfId="1" applyFont="1" applyFill="1" applyAlignment="1" applyProtection="1">
      <alignment horizontal="left" vertical="center"/>
      <protection locked="0"/>
    </xf>
    <xf numFmtId="44" fontId="6" fillId="12" borderId="18" xfId="1" applyFont="1" applyFill="1" applyBorder="1" applyAlignment="1">
      <alignment horizontal="center" vertical="center"/>
    </xf>
    <xf numFmtId="14" fontId="2" fillId="2" borderId="19" xfId="0" applyNumberFormat="1" applyFont="1" applyFill="1" applyBorder="1" applyAlignment="1">
      <alignment horizontal="center" vertical="center"/>
    </xf>
    <xf numFmtId="9" fontId="2" fillId="2" borderId="19" xfId="0" applyNumberFormat="1" applyFont="1" applyFill="1" applyBorder="1" applyAlignment="1">
      <alignment horizontal="center" vertical="center"/>
    </xf>
    <xf numFmtId="14" fontId="2" fillId="2" borderId="25" xfId="0" applyNumberFormat="1" applyFont="1" applyFill="1" applyBorder="1" applyAlignment="1">
      <alignment horizontal="center" vertical="center"/>
    </xf>
    <xf numFmtId="9" fontId="2" fillId="2" borderId="25" xfId="0" applyNumberFormat="1" applyFont="1" applyFill="1" applyBorder="1" applyAlignment="1">
      <alignment horizontal="center" vertical="center"/>
    </xf>
    <xf numFmtId="44" fontId="7" fillId="2" borderId="34" xfId="1" applyFont="1" applyFill="1" applyBorder="1" applyAlignment="1">
      <alignment horizontal="center" vertical="center"/>
    </xf>
    <xf numFmtId="8" fontId="2" fillId="2" borderId="18" xfId="0" applyNumberFormat="1" applyFont="1" applyFill="1" applyBorder="1" applyAlignment="1">
      <alignment horizontal="left" vertical="center"/>
    </xf>
    <xf numFmtId="8" fontId="2" fillId="2" borderId="23" xfId="0" applyNumberFormat="1" applyFont="1" applyFill="1" applyBorder="1" applyAlignment="1">
      <alignment horizontal="left" vertical="center"/>
    </xf>
    <xf numFmtId="44" fontId="8" fillId="2" borderId="0" xfId="1" applyFont="1" applyFill="1" applyAlignment="1" applyProtection="1">
      <alignment horizontal="left" vertical="center"/>
      <protection locked="0"/>
    </xf>
    <xf numFmtId="44" fontId="2" fillId="13" borderId="9" xfId="0" applyNumberFormat="1" applyFont="1" applyFill="1" applyBorder="1"/>
    <xf numFmtId="44" fontId="2" fillId="12" borderId="10" xfId="0" applyNumberFormat="1" applyFont="1" applyFill="1" applyBorder="1"/>
    <xf numFmtId="44" fontId="2" fillId="13" borderId="11" xfId="0" applyNumberFormat="1" applyFont="1" applyFill="1" applyBorder="1"/>
    <xf numFmtId="44" fontId="2" fillId="12" borderId="11" xfId="0" applyNumberFormat="1" applyFont="1" applyFill="1" applyBorder="1"/>
    <xf numFmtId="44" fontId="11" fillId="12" borderId="0" xfId="1" applyFont="1" applyFill="1" applyAlignment="1">
      <alignment horizontal="center" vertical="center"/>
    </xf>
    <xf numFmtId="44" fontId="11" fillId="13" borderId="0" xfId="1" applyFont="1" applyFill="1" applyAlignment="1">
      <alignment horizontal="center" vertical="center"/>
    </xf>
    <xf numFmtId="44" fontId="2" fillId="2" borderId="24" xfId="1" applyFont="1" applyFill="1" applyBorder="1"/>
    <xf numFmtId="44" fontId="2" fillId="2" borderId="15" xfId="0" applyNumberFormat="1" applyFont="1" applyFill="1" applyBorder="1"/>
    <xf numFmtId="0" fontId="0" fillId="2" borderId="0" xfId="0" applyFill="1" applyAlignment="1">
      <alignment horizontal="right"/>
    </xf>
    <xf numFmtId="0" fontId="2" fillId="2" borderId="0" xfId="0" applyFont="1" applyFill="1" applyAlignment="1">
      <alignment horizontal="right"/>
    </xf>
    <xf numFmtId="44" fontId="1" fillId="2" borderId="0" xfId="1" applyFont="1" applyFill="1" applyBorder="1"/>
    <xf numFmtId="44" fontId="0" fillId="2" borderId="0" xfId="1" applyFont="1" applyFill="1" applyBorder="1"/>
    <xf numFmtId="8" fontId="36" fillId="2" borderId="0" xfId="1" applyNumberFormat="1" applyFont="1" applyFill="1"/>
    <xf numFmtId="0" fontId="6" fillId="11" borderId="0" xfId="0" applyFont="1" applyFill="1" applyAlignment="1">
      <alignment horizontal="left" vertical="center"/>
    </xf>
    <xf numFmtId="0" fontId="7" fillId="11" borderId="0" xfId="0" applyFont="1" applyFill="1" applyAlignment="1">
      <alignment horizontal="center" vertical="center"/>
    </xf>
    <xf numFmtId="44" fontId="6" fillId="11" borderId="0" xfId="1" applyFont="1" applyFill="1" applyAlignment="1" applyProtection="1">
      <alignment horizontal="center" vertical="center"/>
      <protection locked="0"/>
    </xf>
    <xf numFmtId="44" fontId="6" fillId="11" borderId="19" xfId="1" applyFont="1" applyFill="1" applyBorder="1" applyAlignment="1" applyProtection="1">
      <alignment horizontal="center" vertical="center"/>
      <protection locked="0"/>
    </xf>
    <xf numFmtId="0" fontId="6" fillId="11" borderId="24" xfId="0" applyFont="1" applyFill="1" applyBorder="1" applyAlignment="1">
      <alignment horizontal="left" vertical="center"/>
    </xf>
    <xf numFmtId="0" fontId="7" fillId="11" borderId="24" xfId="0" applyFont="1" applyFill="1" applyBorder="1" applyAlignment="1">
      <alignment horizontal="center" vertical="center"/>
    </xf>
    <xf numFmtId="171" fontId="23" fillId="2" borderId="34" xfId="12" applyNumberFormat="1" applyFont="1" applyFill="1" applyBorder="1" applyAlignment="1">
      <alignment vertical="center"/>
    </xf>
    <xf numFmtId="44" fontId="22" fillId="2" borderId="34" xfId="1" applyFont="1" applyFill="1" applyBorder="1" applyAlignment="1">
      <alignment vertical="center"/>
    </xf>
    <xf numFmtId="44" fontId="22" fillId="2" borderId="0" xfId="1" applyFont="1" applyFill="1" applyBorder="1" applyAlignment="1">
      <alignment vertical="center"/>
    </xf>
    <xf numFmtId="44" fontId="27" fillId="2" borderId="34" xfId="1" applyFont="1" applyFill="1" applyBorder="1" applyAlignment="1">
      <alignment vertical="center"/>
    </xf>
    <xf numFmtId="44" fontId="42" fillId="2" borderId="46" xfId="1" applyFont="1" applyFill="1" applyBorder="1" applyAlignment="1">
      <alignment vertical="center"/>
    </xf>
    <xf numFmtId="44" fontId="43" fillId="2" borderId="0" xfId="1" applyFont="1" applyFill="1" applyBorder="1" applyAlignment="1">
      <alignment vertical="center"/>
    </xf>
    <xf numFmtId="44" fontId="43" fillId="2" borderId="34" xfId="1" applyFont="1" applyFill="1" applyBorder="1" applyAlignment="1">
      <alignment vertical="center"/>
    </xf>
    <xf numFmtId="44" fontId="22" fillId="2" borderId="18" xfId="1" applyFont="1" applyFill="1" applyBorder="1" applyAlignment="1">
      <alignment vertical="center"/>
    </xf>
    <xf numFmtId="169" fontId="23" fillId="0" borderId="17" xfId="12" applyNumberFormat="1" applyFont="1" applyBorder="1"/>
    <xf numFmtId="44" fontId="42" fillId="2" borderId="17" xfId="1" applyFont="1" applyFill="1" applyBorder="1" applyAlignment="1">
      <alignment vertical="center"/>
    </xf>
    <xf numFmtId="44" fontId="22" fillId="14" borderId="43" xfId="1" applyFont="1" applyFill="1" applyBorder="1" applyAlignment="1">
      <alignment vertical="center"/>
    </xf>
    <xf numFmtId="44" fontId="22" fillId="10" borderId="43" xfId="1" applyFont="1" applyFill="1" applyBorder="1" applyAlignment="1">
      <alignment vertical="center"/>
    </xf>
    <xf numFmtId="44" fontId="22" fillId="2" borderId="20" xfId="1" applyFont="1" applyFill="1" applyBorder="1" applyAlignment="1">
      <alignment vertical="center"/>
    </xf>
    <xf numFmtId="44" fontId="22" fillId="2" borderId="35" xfId="1" applyFont="1" applyFill="1" applyBorder="1" applyAlignment="1">
      <alignment vertical="center"/>
    </xf>
    <xf numFmtId="8" fontId="20" fillId="2" borderId="0" xfId="1" applyNumberFormat="1" applyFont="1" applyFill="1"/>
    <xf numFmtId="165" fontId="0" fillId="2" borderId="12" xfId="0" applyNumberFormat="1" applyFill="1" applyBorder="1"/>
    <xf numFmtId="165" fontId="0" fillId="2" borderId="5" xfId="0" applyNumberFormat="1" applyFill="1" applyBorder="1"/>
    <xf numFmtId="0" fontId="0" fillId="2" borderId="0" xfId="0" applyFill="1" applyAlignment="1">
      <alignment vertical="center"/>
    </xf>
    <xf numFmtId="44" fontId="0" fillId="2" borderId="0" xfId="0" applyNumberForma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169" fontId="22" fillId="2" borderId="0" xfId="12" applyNumberFormat="1" applyFont="1" applyFill="1" applyAlignment="1">
      <alignment horizontal="center"/>
    </xf>
    <xf numFmtId="44" fontId="2" fillId="2" borderId="1" xfId="0" applyNumberFormat="1" applyFont="1" applyFill="1" applyBorder="1"/>
    <xf numFmtId="44" fontId="2" fillId="2" borderId="5" xfId="0" applyNumberFormat="1" applyFont="1" applyFill="1" applyBorder="1"/>
    <xf numFmtId="44" fontId="7" fillId="0" borderId="0" xfId="1" applyFont="1"/>
    <xf numFmtId="44" fontId="34" fillId="2" borderId="0" xfId="1" applyFont="1" applyFill="1"/>
    <xf numFmtId="44" fontId="31" fillId="2" borderId="0" xfId="1" applyFont="1" applyFill="1"/>
    <xf numFmtId="44" fontId="36" fillId="2" borderId="0" xfId="1" applyFont="1" applyFill="1"/>
    <xf numFmtId="44" fontId="17" fillId="2" borderId="0" xfId="1" applyFont="1" applyFill="1"/>
    <xf numFmtId="8" fontId="30" fillId="2" borderId="0" xfId="0" applyNumberFormat="1" applyFont="1" applyFill="1"/>
    <xf numFmtId="0" fontId="29" fillId="2" borderId="0" xfId="0" applyFont="1" applyFill="1"/>
    <xf numFmtId="0" fontId="40" fillId="2" borderId="0" xfId="0" applyFont="1" applyFill="1"/>
    <xf numFmtId="44" fontId="40" fillId="2" borderId="0" xfId="1" applyFont="1" applyFill="1"/>
    <xf numFmtId="44" fontId="41" fillId="2" borderId="0" xfId="1" applyFont="1" applyFill="1"/>
    <xf numFmtId="165" fontId="40" fillId="2" borderId="0" xfId="0" applyNumberFormat="1" applyFont="1" applyFill="1"/>
    <xf numFmtId="44" fontId="33" fillId="2" borderId="0" xfId="1" applyFont="1" applyFill="1"/>
    <xf numFmtId="166" fontId="40" fillId="11" borderId="0" xfId="0" applyNumberFormat="1" applyFont="1" applyFill="1"/>
    <xf numFmtId="166" fontId="40" fillId="11" borderId="0" xfId="0" applyNumberFormat="1" applyFont="1" applyFill="1" applyAlignment="1">
      <alignment horizontal="center"/>
    </xf>
    <xf numFmtId="0" fontId="40" fillId="11" borderId="0" xfId="0" applyFont="1" applyFill="1"/>
    <xf numFmtId="44" fontId="40" fillId="11" borderId="0" xfId="1" applyFont="1" applyFill="1"/>
    <xf numFmtId="165" fontId="2" fillId="2" borderId="0" xfId="0" applyNumberFormat="1" applyFont="1" applyFill="1"/>
    <xf numFmtId="166" fontId="0" fillId="7" borderId="0" xfId="0" applyNumberFormat="1" applyFill="1"/>
    <xf numFmtId="166" fontId="0" fillId="7" borderId="0" xfId="0" applyNumberFormat="1" applyFill="1" applyAlignment="1">
      <alignment horizontal="center"/>
    </xf>
    <xf numFmtId="0" fontId="0" fillId="7" borderId="0" xfId="0" applyFill="1"/>
    <xf numFmtId="44" fontId="0" fillId="7" borderId="0" xfId="1" applyFont="1" applyFill="1"/>
    <xf numFmtId="44" fontId="32" fillId="7" borderId="0" xfId="1" applyFont="1" applyFill="1"/>
    <xf numFmtId="44" fontId="21" fillId="7" borderId="0" xfId="1" applyFont="1" applyFill="1"/>
    <xf numFmtId="165" fontId="0" fillId="7" borderId="0" xfId="0" applyNumberFormat="1" applyFill="1"/>
    <xf numFmtId="44" fontId="15" fillId="7" borderId="0" xfId="1" applyFont="1" applyFill="1"/>
    <xf numFmtId="44" fontId="2" fillId="2" borderId="4" xfId="0" applyNumberFormat="1" applyFont="1" applyFill="1" applyBorder="1"/>
    <xf numFmtId="44" fontId="2" fillId="2" borderId="7" xfId="0" applyNumberFormat="1" applyFont="1" applyFill="1" applyBorder="1"/>
    <xf numFmtId="14" fontId="6" fillId="2" borderId="0" xfId="0" applyNumberFormat="1" applyFont="1" applyFill="1"/>
    <xf numFmtId="166" fontId="6" fillId="7" borderId="0" xfId="0" applyNumberFormat="1" applyFont="1" applyFill="1"/>
    <xf numFmtId="166" fontId="6" fillId="7" borderId="0" xfId="0" applyNumberFormat="1" applyFont="1" applyFill="1" applyAlignment="1">
      <alignment horizontal="center"/>
    </xf>
    <xf numFmtId="0" fontId="6" fillId="7" borderId="0" xfId="0" applyFont="1" applyFill="1"/>
    <xf numFmtId="44" fontId="6" fillId="7" borderId="0" xfId="1" applyFont="1" applyFill="1"/>
    <xf numFmtId="44" fontId="35" fillId="7" borderId="0" xfId="1" applyFont="1" applyFill="1"/>
    <xf numFmtId="165" fontId="6" fillId="7" borderId="0" xfId="0" applyNumberFormat="1" applyFont="1" applyFill="1"/>
    <xf numFmtId="0" fontId="0" fillId="2" borderId="4" xfId="0" applyFill="1" applyBorder="1" applyAlignment="1">
      <alignment horizontal="left" indent="1"/>
    </xf>
    <xf numFmtId="44" fontId="34" fillId="0" borderId="0" xfId="1" applyFont="1"/>
    <xf numFmtId="44" fontId="33" fillId="0" borderId="0" xfId="1" applyFont="1"/>
    <xf numFmtId="0" fontId="8" fillId="0" borderId="0" xfId="0" applyFont="1"/>
    <xf numFmtId="0" fontId="2" fillId="2" borderId="4" xfId="0" applyFont="1" applyFill="1" applyBorder="1" applyAlignment="1">
      <alignment horizontal="left" indent="1"/>
    </xf>
    <xf numFmtId="0" fontId="0" fillId="2" borderId="4" xfId="0" applyFill="1" applyBorder="1" applyAlignment="1">
      <alignment horizontal="left"/>
    </xf>
    <xf numFmtId="0" fontId="0" fillId="2" borderId="1" xfId="0" applyFill="1" applyBorder="1" applyAlignment="1">
      <alignment horizontal="left" indent="1"/>
    </xf>
    <xf numFmtId="0" fontId="2" fillId="11" borderId="1" xfId="0" applyFont="1" applyFill="1" applyBorder="1" applyAlignment="1">
      <alignment horizontal="left"/>
    </xf>
    <xf numFmtId="44" fontId="2" fillId="11" borderId="1" xfId="0" applyNumberFormat="1" applyFont="1" applyFill="1" applyBorder="1"/>
    <xf numFmtId="44" fontId="2" fillId="11" borderId="5" xfId="0" applyNumberFormat="1" applyFont="1" applyFill="1" applyBorder="1"/>
    <xf numFmtId="165" fontId="2" fillId="11" borderId="5" xfId="0" applyNumberFormat="1" applyFont="1" applyFill="1" applyBorder="1"/>
    <xf numFmtId="165" fontId="2" fillId="11" borderId="12" xfId="0" applyNumberFormat="1" applyFont="1" applyFill="1" applyBorder="1"/>
    <xf numFmtId="0" fontId="2" fillId="11" borderId="4" xfId="0" applyFont="1" applyFill="1" applyBorder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right" vertical="center"/>
    </xf>
    <xf numFmtId="169" fontId="22" fillId="2" borderId="0" xfId="12" applyNumberFormat="1" applyFont="1" applyFill="1" applyAlignment="1">
      <alignment horizontal="center"/>
    </xf>
    <xf numFmtId="169" fontId="22" fillId="2" borderId="29" xfId="12" applyNumberFormat="1" applyFont="1" applyFill="1" applyBorder="1" applyAlignment="1">
      <alignment horizontal="center" vertical="center"/>
    </xf>
    <xf numFmtId="169" fontId="22" fillId="2" borderId="30" xfId="12" applyNumberFormat="1" applyFont="1" applyFill="1" applyBorder="1" applyAlignment="1">
      <alignment horizontal="center" vertical="center"/>
    </xf>
    <xf numFmtId="169" fontId="22" fillId="2" borderId="31" xfId="12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44" fillId="2" borderId="0" xfId="0" applyFont="1" applyFill="1"/>
  </cellXfs>
  <cellStyles count="13">
    <cellStyle name="Hipervínculo 2" xfId="3" xr:uid="{F1DBD3DD-DA4E-4E09-8FEF-72D0051675C3}"/>
    <cellStyle name="Hyperlink" xfId="4" xr:uid="{13592B8A-7BEE-4256-9EAC-EA380D394220}"/>
    <cellStyle name="Millares 2" xfId="7" xr:uid="{01471E9E-0054-4605-9C69-15E4A9A3EF2C}"/>
    <cellStyle name="Millares 3" xfId="12" xr:uid="{3F5AEFD8-B3CF-4C68-911D-2F25969CF7EF}"/>
    <cellStyle name="Moneda" xfId="1" builtinId="4"/>
    <cellStyle name="Moneda 2" xfId="2" xr:uid="{E7F2EE38-A63B-4BEB-A9EC-44AD72B1966B}"/>
    <cellStyle name="Moneda 2 2" xfId="6" xr:uid="{E6730077-4323-46B0-AF3B-98A17C1AE784}"/>
    <cellStyle name="Moneda 3" xfId="8" xr:uid="{46EB06B5-4572-484E-A38E-7FBF1F210DAA}"/>
    <cellStyle name="Moneda 4" xfId="9" xr:uid="{00601BAA-0AFE-497B-82B1-844BAC834250}"/>
    <cellStyle name="Normal" xfId="0" builtinId="0"/>
    <cellStyle name="Normal 2" xfId="5" xr:uid="{DB1BECC0-8B85-48BD-9DF0-CFD3AFA28BE2}"/>
    <cellStyle name="Normal 3" xfId="10" xr:uid="{4430A685-A73B-4370-9A31-182DDA51BC2D}"/>
    <cellStyle name="Porcentaje" xfId="11" builtinId="5"/>
  </cellStyles>
  <dxfs count="156">
    <dxf>
      <font>
        <color rgb="FF006100"/>
      </font>
      <fill>
        <patternFill>
          <bgColor rgb="FFC6EFCE"/>
        </patternFill>
      </fill>
    </dxf>
    <dxf>
      <font>
        <b/>
      </font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ont>
        <b/>
      </font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numFmt numFmtId="165" formatCode="_-[$USD]\ * #,##0.00_-;\-[$USD]\ * #,##0.00_-;_-[$USD]\ * &quot;-&quot;??_-;_-@_-"/>
    </dxf>
    <dxf>
      <numFmt numFmtId="165" formatCode="_-[$USD]\ * #,##0.00_-;\-[$USD]\ * #,##0.00_-;_-[$USD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6" formatCode="dd/mm/yyyy;@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numFmt numFmtId="166" formatCode="dd/mm/yyyy;@"/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rgb="FF69D44C"/>
        </patternFill>
      </fill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/>
      </font>
    </dxf>
    <dxf>
      <fill>
        <patternFill>
          <bgColor rgb="FFFF5D5D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</font>
    </dxf>
    <dxf>
      <font>
        <color rgb="FFC0000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</font>
    </dxf>
    <dxf>
      <font>
        <color theme="4" tint="-0.499984740745262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</font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rgb="FF99FF66"/>
        </patternFill>
      </fill>
    </dxf>
    <dxf>
      <fill>
        <patternFill>
          <bgColor rgb="FFFF5D5D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</font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i val="0"/>
      </font>
    </dxf>
    <dxf>
      <font>
        <b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trike val="0"/>
      </font>
      <fill>
        <patternFill>
          <bgColor theme="0"/>
        </patternFill>
      </fill>
      <border>
        <horizontal style="hair">
          <color auto="1"/>
        </horizontal>
      </border>
    </dxf>
  </dxfs>
  <tableStyles count="1" defaultTableStyle="TableStyleMedium2" defaultPivotStyle="PivotStyleLight16">
    <tableStyle name="SIMPLE" pivot="0" count="1" xr9:uid="{7D061920-DE3F-4771-A4EB-7C22F4744C3E}">
      <tableStyleElement type="wholeTable" dxfId="155"/>
    </tableStyle>
  </tableStyles>
  <colors>
    <mruColors>
      <color rgb="FF99FF66"/>
      <color rgb="FF69D44C"/>
      <color rgb="FFFF5D5D"/>
      <color rgb="FFCC6600"/>
      <color rgb="FFFFD6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124602845696926E-2"/>
          <c:y val="0"/>
          <c:w val="0.706245546122377"/>
          <c:h val="0.972445790430042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52-4661-90C9-9099995F37B2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52-4661-90C9-9099995F37B2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52-4661-90C9-9099995F37B2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52-4661-90C9-9099995F37B2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252-4661-90C9-9099995F37B2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252-4661-90C9-9099995F37B2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252-4661-90C9-9099995F37B2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252-4661-90C9-9099995F37B2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252-4661-90C9-9099995F37B2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252-4661-90C9-9099995F37B2}"/>
              </c:ext>
            </c:extLst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252-4661-90C9-9099995F37B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252-4661-90C9-9099995F37B2}"/>
              </c:ext>
            </c:extLst>
          </c:dPt>
          <c:dPt>
            <c:idx val="1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252-4661-90C9-9099995F37B2}"/>
              </c:ext>
            </c:extLst>
          </c:dPt>
          <c:dPt>
            <c:idx val="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252-4661-90C9-9099995F37B2}"/>
              </c:ext>
            </c:extLst>
          </c:dPt>
          <c:dPt>
            <c:idx val="1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252-4661-90C9-9099995F37B2}"/>
              </c:ext>
            </c:extLst>
          </c:dPt>
          <c:dPt>
            <c:idx val="1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252-4661-90C9-9099995F37B2}"/>
              </c:ext>
            </c:extLst>
          </c:dPt>
          <c:dPt>
            <c:idx val="16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252-4661-90C9-9099995F37B2}"/>
              </c:ext>
            </c:extLst>
          </c:dPt>
          <c:dLbls>
            <c:dLbl>
              <c:idx val="0"/>
              <c:layout>
                <c:manualLayout>
                  <c:x val="1.6388105003668951E-2"/>
                  <c:y val="0.1516339235876058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352197203419745"/>
                      <c:h val="0.14516131637391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252-4661-90C9-9099995F37B2}"/>
                </c:ext>
              </c:extLst>
            </c:dLbl>
            <c:dLbl>
              <c:idx val="1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252-4661-90C9-9099995F37B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52-4661-90C9-9099995F37B2}"/>
                </c:ext>
              </c:extLst>
            </c:dLbl>
            <c:dLbl>
              <c:idx val="3"/>
              <c:layout>
                <c:manualLayout>
                  <c:x val="-6.0030742132718071E-3"/>
                  <c:y val="-0.1260935380814956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043729182974936"/>
                      <c:h val="0.1544122753886533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1252-4661-90C9-9099995F37B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252-4661-90C9-9099995F37B2}"/>
                </c:ext>
              </c:extLst>
            </c:dLbl>
            <c:dLbl>
              <c:idx val="13"/>
              <c:layout>
                <c:manualLayout>
                  <c:x val="-3.898635477582845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252-4661-90C9-9099995F37B2}"/>
                </c:ext>
              </c:extLst>
            </c:dLbl>
            <c:dLbl>
              <c:idx val="14"/>
              <c:layout>
                <c:manualLayout>
                  <c:x val="3.5207509773813803E-2"/>
                  <c:y val="1.0256410256410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907872549450871"/>
                      <c:h val="9.994791035735914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D-1252-4661-90C9-9099995F37B2}"/>
                </c:ext>
              </c:extLst>
            </c:dLbl>
            <c:dLbl>
              <c:idx val="15"/>
              <c:layout>
                <c:manualLayout>
                  <c:x val="0"/>
                  <c:y val="5.128205128205034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252-4661-90C9-9099995F37B2}"/>
                </c:ext>
              </c:extLst>
            </c:dLbl>
            <c:dLbl>
              <c:idx val="16"/>
              <c:layout>
                <c:manualLayout>
                  <c:x val="-6.3314711359404099E-2"/>
                  <c:y val="6.153846153846151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872461473042126"/>
                      <c:h val="0.1763706844336765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1-1252-4661-90C9-9099995F37B2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ACTIVIDADES!$B$45:$B$61</c:f>
              <c:strCache>
                <c:ptCount val="17"/>
                <c:pt idx="0">
                  <c:v>ASESORAMIENTO</c:v>
                </c:pt>
                <c:pt idx="1">
                  <c:v>SIEMBRA</c:v>
                </c:pt>
                <c:pt idx="2">
                  <c:v>SEMILLA</c:v>
                </c:pt>
                <c:pt idx="3">
                  <c:v>APLICACIONES</c:v>
                </c:pt>
                <c:pt idx="4">
                  <c:v>OTRAS APLICACIONES</c:v>
                </c:pt>
                <c:pt idx="5">
                  <c:v>INSUMOS</c:v>
                </c:pt>
                <c:pt idx="6">
                  <c:v>COSECHA</c:v>
                </c:pt>
                <c:pt idx="7">
                  <c:v>FLETES</c:v>
                </c:pt>
                <c:pt idx="8">
                  <c:v>MAIZ</c:v>
                </c:pt>
                <c:pt idx="9">
                  <c:v>SIEMBRA</c:v>
                </c:pt>
                <c:pt idx="10">
                  <c:v>SEMILLA</c:v>
                </c:pt>
                <c:pt idx="11">
                  <c:v>APLICACIONES</c:v>
                </c:pt>
                <c:pt idx="12">
                  <c:v>OTRAS APLICACIONES</c:v>
                </c:pt>
                <c:pt idx="13">
                  <c:v>INSUMOS</c:v>
                </c:pt>
                <c:pt idx="14">
                  <c:v>COSECHA</c:v>
                </c:pt>
                <c:pt idx="15">
                  <c:v>FLETES</c:v>
                </c:pt>
                <c:pt idx="16">
                  <c:v>FLETES FERTILIZANTE</c:v>
                </c:pt>
              </c:strCache>
            </c:strRef>
          </c:cat>
          <c:val>
            <c:numRef>
              <c:f>ACTIVIDADES!$O$45:$O$61</c:f>
              <c:numCache>
                <c:formatCode>0.0%</c:formatCode>
                <c:ptCount val="17"/>
                <c:pt idx="0">
                  <c:v>0.44119542857142857</c:v>
                </c:pt>
                <c:pt idx="1">
                  <c:v>0.70587168994376526</c:v>
                </c:pt>
                <c:pt idx="2">
                  <c:v>0</c:v>
                </c:pt>
                <c:pt idx="3">
                  <c:v>0.68154733792199262</c:v>
                </c:pt>
                <c:pt idx="4">
                  <c:v>0</c:v>
                </c:pt>
                <c:pt idx="5">
                  <c:v>0.68939809295833387</c:v>
                </c:pt>
                <c:pt idx="6">
                  <c:v>0.24119912628028492</c:v>
                </c:pt>
                <c:pt idx="7">
                  <c:v>0.27146983420768811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0.72779540794322362</c:v>
                </c:pt>
                <c:pt idx="15">
                  <c:v>0</c:v>
                </c:pt>
                <c:pt idx="16">
                  <c:v>0.65339999999999998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6-4A4D-9B24-1FC6048CA6A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122590279663314"/>
          <c:y val="3.1954439657306988E-2"/>
          <c:w val="0.21234407818389328"/>
          <c:h val="0.952554296191623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41505202668526"/>
          <c:y val="5.8243283972118164E-2"/>
          <c:w val="0.84569603737498078"/>
          <c:h val="0.827589460071182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ACTIVIDADES!$B$16</c:f>
              <c:strCache>
                <c:ptCount val="1"/>
                <c:pt idx="0">
                  <c:v>AGRICULTURA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8.822718500137855E-3"/>
                  <c:y val="-9.958931981041516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2EB-4E98-9B0F-A0D053E6955C}"/>
                </c:ext>
              </c:extLst>
            </c:dLbl>
            <c:dLbl>
              <c:idx val="2"/>
              <c:layout>
                <c:manualLayout>
                  <c:x val="-5.5141990625861594E-3"/>
                  <c:y val="-0.1537441693682170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C1-49B9-B546-E819CBEA9564}"/>
                </c:ext>
              </c:extLst>
            </c:dLbl>
            <c:dLbl>
              <c:idx val="3"/>
              <c:layout>
                <c:manualLayout>
                  <c:x val="-1.437679706482313E-2"/>
                  <c:y val="-6.7458332950677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4DA-4EA1-9736-FD365A4A2BBF}"/>
                </c:ext>
              </c:extLst>
            </c:dLbl>
            <c:dLbl>
              <c:idx val="4"/>
              <c:layout>
                <c:manualLayout>
                  <c:x val="-8.2522841143530794E-3"/>
                  <c:y val="-1.034381420791478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826-444F-AFAF-6C3DBEE42DD1}"/>
                </c:ext>
              </c:extLst>
            </c:dLbl>
            <c:dLbl>
              <c:idx val="5"/>
              <c:layout>
                <c:manualLayout>
                  <c:x val="-1.4146772767462509E-2"/>
                  <c:y val="-9.934469835168560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26-444F-AFAF-6C3DBEE42DD1}"/>
                </c:ext>
              </c:extLst>
            </c:dLbl>
            <c:dLbl>
              <c:idx val="6"/>
              <c:layout>
                <c:manualLayout>
                  <c:x val="-1.0610092952354841E-2"/>
                  <c:y val="-7.926361426952943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26-444F-AFAF-6C3DBEE42DD1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0" tIns="36000" rIns="0" bIns="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ln>
                      <a:noFill/>
                    </a:ln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ACTIVIDADES!$C$15:$N$15</c:f>
              <c:strCache>
                <c:ptCount val="9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DICIEMBRE</c:v>
                </c:pt>
              </c:strCache>
            </c:strRef>
          </c:cat>
          <c:val>
            <c:numRef>
              <c:f>ACTIVIDADES!$C$16:$N$16</c:f>
              <c:numCache>
                <c:formatCode>_("$"* #,##0.00_);_("$"* \(#,##0.00\);_("$"* "-"??_);_(@_)</c:formatCode>
                <c:ptCount val="9"/>
                <c:pt idx="0">
                  <c:v>10824992</c:v>
                </c:pt>
                <c:pt idx="1">
                  <c:v>1766963.27</c:v>
                </c:pt>
                <c:pt idx="2">
                  <c:v>4756184.78</c:v>
                </c:pt>
                <c:pt idx="3">
                  <c:v>11510526</c:v>
                </c:pt>
                <c:pt idx="4">
                  <c:v>17255180.75</c:v>
                </c:pt>
                <c:pt idx="5">
                  <c:v>5946510.5</c:v>
                </c:pt>
                <c:pt idx="6">
                  <c:v>58274249.840000004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5-4A3A-B96E-52A06C939A20}"/>
            </c:ext>
          </c:extLst>
        </c:ser>
        <c:ser>
          <c:idx val="1"/>
          <c:order val="1"/>
          <c:tx>
            <c:strRef>
              <c:f>ACTIVIDADES!$B$35</c:f>
              <c:strCache>
                <c:ptCount val="1"/>
                <c:pt idx="0">
                  <c:v>GANADERIA </c:v>
                </c:pt>
              </c:strCache>
            </c:strRef>
          </c:tx>
          <c:spPr>
            <a:solidFill>
              <a:srgbClr val="CC66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3420193375889993E-3"/>
                  <c:y val="-0.20045726680186246"/>
                </c:manualLayout>
              </c:layout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0" tIns="36000" rIns="0" bIns="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CC66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8.875991752779043E-2"/>
                      <c:h val="7.325118616360917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285-4577-8F4B-D0F4E5491065}"/>
                </c:ext>
              </c:extLst>
            </c:dLbl>
            <c:dLbl>
              <c:idx val="1"/>
              <c:layout>
                <c:manualLayout>
                  <c:x val="-1.1028398125172319E-3"/>
                  <c:y val="-0.1015617368624501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F16-4445-B5F1-16AA86E12F5B}"/>
                </c:ext>
              </c:extLst>
            </c:dLbl>
            <c:dLbl>
              <c:idx val="2"/>
              <c:layout>
                <c:manualLayout>
                  <c:x val="3.5962924401372769E-5"/>
                  <c:y val="-6.053796683667719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EC1-49B9-B546-E819CBEA9564}"/>
                </c:ext>
              </c:extLst>
            </c:dLbl>
            <c:dLbl>
              <c:idx val="3"/>
              <c:layout>
                <c:manualLayout>
                  <c:x val="-3.5366931918656922E-3"/>
                  <c:y val="-3.63200249797749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DA-4EA1-9736-FD365A4A2BBF}"/>
                </c:ext>
              </c:extLst>
            </c:dLbl>
            <c:dLbl>
              <c:idx val="4"/>
              <c:layout>
                <c:manualLayout>
                  <c:x val="2.4089129780186691E-3"/>
                  <c:y val="-7.883406566708703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FB0-44EE-ACC6-7EE9D398BD61}"/>
                </c:ext>
              </c:extLst>
            </c:dLbl>
            <c:dLbl>
              <c:idx val="5"/>
              <c:layout>
                <c:manualLayout>
                  <c:x val="-7.073386383731211E-3"/>
                  <c:y val="-9.7013697966803281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26-444F-AFAF-6C3DBEE42DD1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0" tIns="36000" rIns="0" bIns="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CC66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ACTIVIDADES!$C$35:$N$35</c:f>
              <c:numCache>
                <c:formatCode>_("$"* #,##0.00_);_("$"* \(#,##0.00\);_("$"*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5-4577-8F4B-D0F4E549106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94916095"/>
        <c:axId val="1694916575"/>
      </c:barChart>
      <c:catAx>
        <c:axId val="169491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94916575"/>
        <c:crosses val="autoZero"/>
        <c:auto val="1"/>
        <c:lblAlgn val="ctr"/>
        <c:lblOffset val="100"/>
        <c:noMultiLvlLbl val="0"/>
      </c:catAx>
      <c:valAx>
        <c:axId val="169491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9491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221530664104653"/>
          <c:y val="0.27799809479123272"/>
          <c:w val="0.19470280855091623"/>
          <c:h val="0.136515471681100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794724478337851E-2"/>
          <c:y val="7.944937629876879E-2"/>
          <c:w val="0.88331631774374664"/>
          <c:h val="0.80638336774453157"/>
        </c:manualLayout>
      </c:layout>
      <c:barChart>
        <c:barDir val="col"/>
        <c:grouping val="clustered"/>
        <c:varyColors val="0"/>
        <c:ser>
          <c:idx val="0"/>
          <c:order val="0"/>
          <c:tx>
            <c:v>Raul Aportes</c:v>
          </c:tx>
          <c:invertIfNegative val="0"/>
          <c:dLbls>
            <c:dLbl>
              <c:idx val="2"/>
              <c:layout>
                <c:manualLayout>
                  <c:x val="-8.7489063867019835E-4"/>
                  <c:y val="1.086227811873572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DC0-4ACE-AB56-15DC48D49537}"/>
                </c:ext>
              </c:extLst>
            </c:dLbl>
            <c:dLbl>
              <c:idx val="3"/>
              <c:layout>
                <c:manualLayout>
                  <c:x val="-8.7489063867023044E-4"/>
                  <c:y val="-5.805752194287880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159-4910-BBB2-79CCFF2EFC14}"/>
                </c:ext>
              </c:extLst>
            </c:dLbl>
            <c:dLbl>
              <c:idx val="4"/>
              <c:layout>
                <c:manualLayout>
                  <c:x val="-2.6246719160104987E-3"/>
                  <c:y val="-2.539220834735254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DC0-4ACE-AB56-15DC48D49537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0" tIns="36000" rIns="0" bIns="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ln>
                      <a:noFill/>
                    </a:ln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CAPITAL!$C$15:$N$15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CAPITAL!$C$18:$N$18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5770000</c:v>
                </c:pt>
                <c:pt idx="3">
                  <c:v>3431000</c:v>
                </c:pt>
                <c:pt idx="4">
                  <c:v>700000</c:v>
                </c:pt>
                <c:pt idx="5">
                  <c:v>17473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59-4910-BBB2-79CCFF2EFC14}"/>
            </c:ext>
          </c:extLst>
        </c:ser>
        <c:ser>
          <c:idx val="1"/>
          <c:order val="1"/>
          <c:tx>
            <c:v>Raul retiros</c:v>
          </c:tx>
          <c:invertIfNegative val="0"/>
          <c:dLbls>
            <c:dLbl>
              <c:idx val="0"/>
              <c:layout>
                <c:manualLayout>
                  <c:x val="0"/>
                  <c:y val="1.169006711644732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B28-43E2-B57A-15A4FD4BF407}"/>
                </c:ext>
              </c:extLst>
            </c:dLbl>
            <c:dLbl>
              <c:idx val="1"/>
              <c:layout>
                <c:manualLayout>
                  <c:x val="-1.7497812773403325E-3"/>
                  <c:y val="1.087020953122012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B28-43E2-B57A-15A4FD4BF407}"/>
                </c:ext>
              </c:extLst>
            </c:dLbl>
            <c:dLbl>
              <c:idx val="2"/>
              <c:layout>
                <c:manualLayout>
                  <c:x val="-3.499562554680665E-3"/>
                  <c:y val="1.1690067116447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B28-43E2-B57A-15A4FD4BF407}"/>
                </c:ext>
              </c:extLst>
            </c:dLbl>
            <c:dLbl>
              <c:idx val="3"/>
              <c:layout>
                <c:manualLayout>
                  <c:x val="-2.6246719160104987E-3"/>
                  <c:y val="1.087020953122012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B28-43E2-B57A-15A4FD4BF407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CAPITAL!$C$27:$N$27</c:f>
              <c:numCache>
                <c:formatCode>_("$"* #,##0.00_);_("$"* \(#,##0.00\);_("$"* "-"??_);_(@_)</c:formatCode>
                <c:ptCount val="12"/>
                <c:pt idx="0">
                  <c:v>1032678.3500000001</c:v>
                </c:pt>
                <c:pt idx="1">
                  <c:v>1000000</c:v>
                </c:pt>
                <c:pt idx="2">
                  <c:v>2300035.5699999998</c:v>
                </c:pt>
                <c:pt idx="3">
                  <c:v>3132179</c:v>
                </c:pt>
                <c:pt idx="4">
                  <c:v>10500000</c:v>
                </c:pt>
                <c:pt idx="5">
                  <c:v>3066158</c:v>
                </c:pt>
                <c:pt idx="6">
                  <c:v>3096280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28-43E2-B57A-15A4FD4BF40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694916095"/>
        <c:axId val="1694916575"/>
      </c:barChart>
      <c:catAx>
        <c:axId val="169491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94916575"/>
        <c:crosses val="autoZero"/>
        <c:auto val="1"/>
        <c:lblAlgn val="ctr"/>
        <c:lblOffset val="100"/>
        <c:noMultiLvlLbl val="0"/>
      </c:catAx>
      <c:valAx>
        <c:axId val="169491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  <a:alpha val="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9491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383243433153527"/>
          <c:y val="9.7746310014702326E-2"/>
          <c:w val="5.4900903135139602E-2"/>
          <c:h val="0.178927656334401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723900</xdr:colOff>
      <xdr:row>50</xdr:row>
      <xdr:rowOff>104775</xdr:rowOff>
    </xdr:from>
    <xdr:to>
      <xdr:col>4</xdr:col>
      <xdr:colOff>1362075</xdr:colOff>
      <xdr:row>52</xdr:row>
      <xdr:rowOff>100134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325161F-9BAB-4405-B749-FCE2C9A9E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0" y="9382125"/>
          <a:ext cx="5048250" cy="4144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66676</xdr:colOff>
      <xdr:row>0</xdr:row>
      <xdr:rowOff>0</xdr:rowOff>
    </xdr:from>
    <xdr:to>
      <xdr:col>18</xdr:col>
      <xdr:colOff>762001</xdr:colOff>
      <xdr:row>12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C4A696D-C0B4-DCD1-C5C2-D40E6D7EA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</xdr:colOff>
      <xdr:row>1</xdr:row>
      <xdr:rowOff>14287</xdr:rowOff>
    </xdr:from>
    <xdr:to>
      <xdr:col>14</xdr:col>
      <xdr:colOff>962025</xdr:colOff>
      <xdr:row>13</xdr:row>
      <xdr:rowOff>123825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5905DE6-E6B4-8A6F-C3F4-BAE30B41D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</xdr:row>
      <xdr:rowOff>14287</xdr:rowOff>
    </xdr:from>
    <xdr:to>
      <xdr:col>14</xdr:col>
      <xdr:colOff>962025</xdr:colOff>
      <xdr:row>13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D78B2E0-582E-4C63-8EFE-461F5C1E4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INFORMAT\04-05-MAY\cierre_2003_prueba_final\AUXILIARES\archivos%20auxiliares\pablo_2002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evin\Desktop\01.xlsx" TargetMode="External"/><Relationship Id="rId1" Type="http://schemas.openxmlformats.org/officeDocument/2006/relationships/externalLinkPath" Target="/Users/Kevin/Desktop/01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evin\Dropbox\ADMINISTRACION%20G&amp;E%20SA\ACTIVIDADES\AGRICULTURA.xlsx" TargetMode="External"/><Relationship Id="rId1" Type="http://schemas.openxmlformats.org/officeDocument/2006/relationships/externalLinkPath" Target="/Users/Kevin/Dropbox/ADMINISTRACION%20G&amp;E%20SA/ACTIVIDADES/AGRICULTU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P_EERR"/>
      <sheetName val="EEPN"/>
      <sheetName val="EOAF"/>
      <sheetName val="Anexo A"/>
      <sheetName val="Bal1202-200603"/>
      <sheetName val="Saldos"/>
      <sheetName val="Hoja1"/>
      <sheetName val="Ajustes No Contabilizados"/>
    </sheetNames>
    <sheetDataSet>
      <sheetData sheetId="0"/>
      <sheetData sheetId="1"/>
      <sheetData sheetId="2"/>
      <sheetData sheetId="3"/>
      <sheetData sheetId="4">
        <row r="10">
          <cell r="E10">
            <v>1</v>
          </cell>
          <cell r="F10" t="str">
            <v>Caja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18177295.800000001</v>
          </cell>
          <cell r="N10">
            <v>18177295.800000001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</row>
        <row r="11">
          <cell r="E11">
            <v>1</v>
          </cell>
          <cell r="F11" t="str">
            <v>Tesorería General de la Nación cuenta 3855/19</v>
          </cell>
          <cell r="G11">
            <v>5398160460</v>
          </cell>
          <cell r="H11">
            <v>0</v>
          </cell>
          <cell r="I11">
            <v>6381160081.6099997</v>
          </cell>
          <cell r="J11">
            <v>0</v>
          </cell>
          <cell r="K11">
            <v>11779320541.610001</v>
          </cell>
          <cell r="L11">
            <v>0</v>
          </cell>
          <cell r="M11">
            <v>1018838545936.26</v>
          </cell>
          <cell r="N11">
            <v>1022101913811.3101</v>
          </cell>
          <cell r="O11">
            <v>0</v>
          </cell>
          <cell r="P11">
            <v>-3263367875.0500488</v>
          </cell>
          <cell r="Q11">
            <v>-3263367875.0500488</v>
          </cell>
          <cell r="R11">
            <v>-9644527956.6600494</v>
          </cell>
        </row>
        <row r="12">
          <cell r="E12">
            <v>1</v>
          </cell>
          <cell r="F12" t="str">
            <v>Fondos con afectación específica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</row>
        <row r="13">
          <cell r="E13">
            <v>1</v>
          </cell>
          <cell r="F13" t="str">
            <v>Regularización de montos por retenciones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788060558.12</v>
          </cell>
          <cell r="N13">
            <v>788060558.12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</row>
        <row r="14">
          <cell r="E14">
            <v>1</v>
          </cell>
          <cell r="F14" t="str">
            <v>Regularización de montos por correcciones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20158662015.459999</v>
          </cell>
          <cell r="N14">
            <v>20158662015.459999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</row>
        <row r="15">
          <cell r="E15">
            <v>1</v>
          </cell>
          <cell r="F15" t="str">
            <v>Depósitos en Lecop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4265562538.8700004</v>
          </cell>
          <cell r="N15">
            <v>4006346159.6300001</v>
          </cell>
          <cell r="O15">
            <v>0</v>
          </cell>
          <cell r="P15">
            <v>259216379.24000025</v>
          </cell>
          <cell r="Q15">
            <v>259216379.24000025</v>
          </cell>
          <cell r="R15">
            <v>259216379.24000025</v>
          </cell>
        </row>
        <row r="16">
          <cell r="E16">
            <v>1</v>
          </cell>
          <cell r="F16" t="str">
            <v>Otros depósitos bancarios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</row>
        <row r="17">
          <cell r="E17">
            <v>1</v>
          </cell>
          <cell r="F17" t="str">
            <v>Previsión para fluctuación de la moneda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</row>
        <row r="18">
          <cell r="E18">
            <v>1</v>
          </cell>
          <cell r="F18" t="str">
            <v>Fondos Rotatorios de Adm. Central</v>
          </cell>
          <cell r="G18">
            <v>39449749.520000003</v>
          </cell>
          <cell r="H18">
            <v>0</v>
          </cell>
          <cell r="I18">
            <v>46633509.460000001</v>
          </cell>
          <cell r="J18">
            <v>0</v>
          </cell>
          <cell r="K18">
            <v>86083258.980000004</v>
          </cell>
          <cell r="L18">
            <v>0</v>
          </cell>
          <cell r="M18">
            <v>208365274.33000001</v>
          </cell>
          <cell r="N18">
            <v>215355672.19999999</v>
          </cell>
          <cell r="O18">
            <v>0</v>
          </cell>
          <cell r="P18">
            <v>-6990397.869999975</v>
          </cell>
          <cell r="Q18">
            <v>-6990397.869999975</v>
          </cell>
          <cell r="R18">
            <v>-53623907.329999976</v>
          </cell>
        </row>
        <row r="19">
          <cell r="E19">
            <v>1</v>
          </cell>
          <cell r="F19" t="str">
            <v>Regularización de montos por ejecuciones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186327474.33000001</v>
          </cell>
          <cell r="N19">
            <v>186327474.33000001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</row>
        <row r="20">
          <cell r="E20">
            <v>1</v>
          </cell>
          <cell r="F20" t="str">
            <v>Otros Fondos Rotatorios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997126.12</v>
          </cell>
          <cell r="N20">
            <v>997126.12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</row>
        <row r="21">
          <cell r="E21">
            <v>2</v>
          </cell>
          <cell r="F21" t="str">
            <v>Inversiones temporarias</v>
          </cell>
          <cell r="G21">
            <v>17781700.5</v>
          </cell>
          <cell r="H21">
            <v>0</v>
          </cell>
          <cell r="I21">
            <v>21019730.379999999</v>
          </cell>
          <cell r="J21">
            <v>0</v>
          </cell>
          <cell r="K21">
            <v>38801430.879999995</v>
          </cell>
          <cell r="L21">
            <v>0</v>
          </cell>
          <cell r="M21">
            <v>141270500.84</v>
          </cell>
          <cell r="N21">
            <v>142288052.96000001</v>
          </cell>
          <cell r="O21">
            <v>0</v>
          </cell>
          <cell r="P21">
            <v>-1017552.1200000048</v>
          </cell>
          <cell r="Q21">
            <v>-1017552.1200000048</v>
          </cell>
          <cell r="R21">
            <v>-22037282.500000004</v>
          </cell>
        </row>
        <row r="22">
          <cell r="E22">
            <v>2</v>
          </cell>
          <cell r="F22" t="str">
            <v>Títulos y valores en cartera</v>
          </cell>
          <cell r="G22">
            <v>1158060118.95</v>
          </cell>
          <cell r="H22">
            <v>0</v>
          </cell>
          <cell r="I22">
            <v>1368941708.55</v>
          </cell>
          <cell r="J22">
            <v>0</v>
          </cell>
          <cell r="K22">
            <v>2527001827.5</v>
          </cell>
          <cell r="L22">
            <v>0</v>
          </cell>
          <cell r="M22">
            <v>144271733521.92999</v>
          </cell>
          <cell r="N22">
            <v>143901106926.48999</v>
          </cell>
          <cell r="O22">
            <v>0</v>
          </cell>
          <cell r="P22">
            <v>370626595.44000244</v>
          </cell>
          <cell r="Q22">
            <v>370626595.44000244</v>
          </cell>
          <cell r="R22">
            <v>-998315113.10999751</v>
          </cell>
        </row>
        <row r="23">
          <cell r="E23">
            <v>3</v>
          </cell>
          <cell r="F23" t="str">
            <v>Prestamos otorgados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</row>
        <row r="24">
          <cell r="F24" t="str">
            <v>Prev. por fluct de la moneda - Inversiones financieras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</row>
        <row r="25">
          <cell r="F25" t="str">
            <v>Prev. por diferencia de cotización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</row>
        <row r="26">
          <cell r="E26">
            <v>3</v>
          </cell>
          <cell r="F26" t="str">
            <v>Ingresos tributarios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27">
          <cell r="E27">
            <v>3</v>
          </cell>
          <cell r="F27" t="str">
            <v>Ingresos no tributarios</v>
          </cell>
          <cell r="G27">
            <v>208308.45</v>
          </cell>
          <cell r="H27">
            <v>0</v>
          </cell>
          <cell r="I27">
            <v>246241.21</v>
          </cell>
          <cell r="J27">
            <v>0</v>
          </cell>
          <cell r="K27">
            <v>454549.66000000003</v>
          </cell>
          <cell r="L27">
            <v>0</v>
          </cell>
          <cell r="M27">
            <v>100939.23</v>
          </cell>
          <cell r="N27">
            <v>208308.45</v>
          </cell>
          <cell r="O27">
            <v>0</v>
          </cell>
          <cell r="P27">
            <v>-107369.22000000002</v>
          </cell>
          <cell r="Q27">
            <v>-107369.22000000002</v>
          </cell>
          <cell r="R27">
            <v>-353610.43</v>
          </cell>
        </row>
        <row r="28">
          <cell r="E28">
            <v>3</v>
          </cell>
          <cell r="F28" t="str">
            <v>Contribuciones de la Seguridad Social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E29">
            <v>3</v>
          </cell>
          <cell r="F29" t="str">
            <v>Ingresos por venta de bienes y servicios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</row>
        <row r="30">
          <cell r="E30">
            <v>3</v>
          </cell>
          <cell r="F30" t="str">
            <v>Rentas de la propiedad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</row>
        <row r="31">
          <cell r="E31">
            <v>3</v>
          </cell>
          <cell r="F31" t="str">
            <v>Ingresos por venta de activos fijos</v>
          </cell>
          <cell r="G31">
            <v>1260942.94</v>
          </cell>
          <cell r="H31">
            <v>0</v>
          </cell>
          <cell r="I31">
            <v>1490559.39</v>
          </cell>
          <cell r="J31">
            <v>0</v>
          </cell>
          <cell r="K31">
            <v>2751502.33</v>
          </cell>
          <cell r="L31">
            <v>0</v>
          </cell>
          <cell r="M31">
            <v>1124700</v>
          </cell>
          <cell r="N31">
            <v>0</v>
          </cell>
          <cell r="O31">
            <v>0</v>
          </cell>
          <cell r="P31">
            <v>1124700</v>
          </cell>
          <cell r="Q31">
            <v>1124700</v>
          </cell>
          <cell r="R31">
            <v>-365859.3899999999</v>
          </cell>
        </row>
        <row r="32">
          <cell r="E32">
            <v>3</v>
          </cell>
          <cell r="F32" t="str">
            <v>Transferencias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</row>
        <row r="33">
          <cell r="E33">
            <v>3</v>
          </cell>
          <cell r="F33" t="str">
            <v>Contribuciones figurativas</v>
          </cell>
          <cell r="G33">
            <v>428679467.19</v>
          </cell>
          <cell r="H33">
            <v>0</v>
          </cell>
          <cell r="I33">
            <v>506741569.49000001</v>
          </cell>
          <cell r="J33">
            <v>0</v>
          </cell>
          <cell r="K33">
            <v>935421036.68000007</v>
          </cell>
          <cell r="L33">
            <v>0</v>
          </cell>
          <cell r="M33">
            <v>210823158.94999999</v>
          </cell>
          <cell r="N33">
            <v>106421119.25</v>
          </cell>
          <cell r="O33">
            <v>0</v>
          </cell>
          <cell r="P33">
            <v>104402039.69999999</v>
          </cell>
          <cell r="Q33">
            <v>104402039.69999999</v>
          </cell>
          <cell r="R33">
            <v>-402339529.79000002</v>
          </cell>
        </row>
        <row r="34">
          <cell r="E34">
            <v>3</v>
          </cell>
          <cell r="F34" t="str">
            <v>Otras cuentas a cobrar</v>
          </cell>
          <cell r="G34">
            <v>85616658.329999998</v>
          </cell>
          <cell r="H34">
            <v>0</v>
          </cell>
          <cell r="I34">
            <v>101207366.2</v>
          </cell>
          <cell r="J34">
            <v>0</v>
          </cell>
          <cell r="K34">
            <v>186824024.53</v>
          </cell>
          <cell r="L34">
            <v>0</v>
          </cell>
          <cell r="M34">
            <v>3522376867.6900001</v>
          </cell>
          <cell r="N34">
            <v>2837875457.2200003</v>
          </cell>
          <cell r="O34">
            <v>0</v>
          </cell>
          <cell r="P34">
            <v>684501410.46999979</v>
          </cell>
          <cell r="Q34">
            <v>684501410.46999979</v>
          </cell>
          <cell r="R34">
            <v>583294044.26999974</v>
          </cell>
        </row>
        <row r="35">
          <cell r="E35">
            <v>3</v>
          </cell>
          <cell r="F35" t="str">
            <v>Documentos a cobrar</v>
          </cell>
          <cell r="G35">
            <v>7435492.6799999997</v>
          </cell>
          <cell r="H35">
            <v>0</v>
          </cell>
          <cell r="I35">
            <v>8789488.4600000009</v>
          </cell>
          <cell r="J35">
            <v>0</v>
          </cell>
          <cell r="K35">
            <v>16224981.140000001</v>
          </cell>
          <cell r="L35">
            <v>0</v>
          </cell>
          <cell r="M35">
            <v>7908625.5700000003</v>
          </cell>
          <cell r="N35">
            <v>3338350.59</v>
          </cell>
          <cell r="O35">
            <v>0</v>
          </cell>
          <cell r="P35">
            <v>4570274.9800000004</v>
          </cell>
          <cell r="Q35">
            <v>4570274.9800000004</v>
          </cell>
          <cell r="R35">
            <v>-4219213.4800000004</v>
          </cell>
        </row>
        <row r="36">
          <cell r="E36">
            <v>3</v>
          </cell>
          <cell r="F36" t="str">
            <v>Adelantos a proveedores y contratistas</v>
          </cell>
          <cell r="G36">
            <v>9411958.8100000005</v>
          </cell>
          <cell r="H36">
            <v>0</v>
          </cell>
          <cell r="I36">
            <v>11125867.1</v>
          </cell>
          <cell r="J36">
            <v>0</v>
          </cell>
          <cell r="K36">
            <v>20537825.91</v>
          </cell>
          <cell r="L36">
            <v>0</v>
          </cell>
          <cell r="M36">
            <v>363812.56</v>
          </cell>
          <cell r="N36">
            <v>7693715.1699999999</v>
          </cell>
          <cell r="O36">
            <v>0</v>
          </cell>
          <cell r="P36">
            <v>-7329902.6100000003</v>
          </cell>
          <cell r="Q36">
            <v>-7329902.6100000003</v>
          </cell>
          <cell r="R36">
            <v>-18455769.710000001</v>
          </cell>
        </row>
        <row r="37">
          <cell r="E37">
            <v>3</v>
          </cell>
          <cell r="F37" t="str">
            <v>Anticipos de recaudación</v>
          </cell>
          <cell r="G37">
            <v>41136697.609999999</v>
          </cell>
          <cell r="H37">
            <v>0</v>
          </cell>
          <cell r="I37">
            <v>48627649.109999999</v>
          </cell>
          <cell r="J37">
            <v>0</v>
          </cell>
          <cell r="K37">
            <v>89764346.719999999</v>
          </cell>
          <cell r="L37">
            <v>0</v>
          </cell>
          <cell r="M37">
            <v>1657122867.1700001</v>
          </cell>
          <cell r="N37">
            <v>755231066.91999996</v>
          </cell>
          <cell r="O37">
            <v>0</v>
          </cell>
          <cell r="P37">
            <v>901891800.25000012</v>
          </cell>
          <cell r="Q37">
            <v>901891800.25000012</v>
          </cell>
          <cell r="R37">
            <v>853264151.1400001</v>
          </cell>
        </row>
        <row r="38">
          <cell r="E38">
            <v>3</v>
          </cell>
          <cell r="F38" t="str">
            <v>Otros anticipos</v>
          </cell>
          <cell r="G38">
            <v>86461313.340000004</v>
          </cell>
          <cell r="H38">
            <v>0</v>
          </cell>
          <cell r="I38">
            <v>102205832.04000001</v>
          </cell>
          <cell r="J38">
            <v>0</v>
          </cell>
          <cell r="K38">
            <v>188667145.38</v>
          </cell>
          <cell r="L38">
            <v>0</v>
          </cell>
          <cell r="M38">
            <v>3844565184.1199999</v>
          </cell>
          <cell r="N38">
            <v>3297623534.3600001</v>
          </cell>
          <cell r="O38">
            <v>0</v>
          </cell>
          <cell r="P38">
            <v>546941649.75999975</v>
          </cell>
          <cell r="Q38">
            <v>546941649.75999975</v>
          </cell>
          <cell r="R38">
            <v>444735817.71999973</v>
          </cell>
        </row>
        <row r="39">
          <cell r="E39">
            <v>3</v>
          </cell>
          <cell r="F39" t="str">
            <v>Gastos pagados por adelantado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</row>
        <row r="40">
          <cell r="E40">
            <v>3</v>
          </cell>
          <cell r="F40" t="str">
            <v>Préstamos otorgados</v>
          </cell>
          <cell r="G40">
            <v>10439124.359999999</v>
          </cell>
          <cell r="H40">
            <v>0</v>
          </cell>
          <cell r="I40">
            <v>12340078.470000001</v>
          </cell>
          <cell r="J40">
            <v>0</v>
          </cell>
          <cell r="K40">
            <v>22779202.829999998</v>
          </cell>
          <cell r="L40">
            <v>0</v>
          </cell>
          <cell r="M40">
            <v>14159029.210000001</v>
          </cell>
          <cell r="N40">
            <v>0</v>
          </cell>
          <cell r="O40">
            <v>0</v>
          </cell>
          <cell r="P40">
            <v>14159029.210000001</v>
          </cell>
          <cell r="Q40">
            <v>14159029.210000001</v>
          </cell>
          <cell r="R40">
            <v>1818950.7400000002</v>
          </cell>
        </row>
        <row r="41">
          <cell r="E41">
            <v>3</v>
          </cell>
          <cell r="F41" t="str">
            <v>Deudores por avales</v>
          </cell>
          <cell r="G41">
            <v>27624796.829999998</v>
          </cell>
          <cell r="H41">
            <v>0</v>
          </cell>
          <cell r="I41">
            <v>32655244.710000001</v>
          </cell>
          <cell r="J41">
            <v>0</v>
          </cell>
          <cell r="K41">
            <v>60280041.539999999</v>
          </cell>
          <cell r="L41">
            <v>0</v>
          </cell>
          <cell r="M41">
            <v>0</v>
          </cell>
          <cell r="N41">
            <v>124654.74</v>
          </cell>
          <cell r="O41">
            <v>0</v>
          </cell>
          <cell r="P41">
            <v>-124654.74</v>
          </cell>
          <cell r="Q41">
            <v>-124654.74</v>
          </cell>
          <cell r="R41">
            <v>-32779899.449999999</v>
          </cell>
        </row>
        <row r="42">
          <cell r="E42">
            <v>3</v>
          </cell>
          <cell r="F42" t="str">
            <v>Gastos pagados por cuenta de terceros</v>
          </cell>
          <cell r="G42">
            <v>9594170.1699999999</v>
          </cell>
          <cell r="H42">
            <v>0</v>
          </cell>
          <cell r="I42">
            <v>11341258.960000001</v>
          </cell>
          <cell r="J42">
            <v>0</v>
          </cell>
          <cell r="K42">
            <v>20935429.130000003</v>
          </cell>
          <cell r="L42">
            <v>0</v>
          </cell>
          <cell r="M42">
            <v>0</v>
          </cell>
          <cell r="N42">
            <v>4160824.29</v>
          </cell>
          <cell r="O42">
            <v>0</v>
          </cell>
          <cell r="P42">
            <v>-4160824.29</v>
          </cell>
          <cell r="Q42">
            <v>-4160824.29</v>
          </cell>
          <cell r="R42">
            <v>-15502083.25</v>
          </cell>
        </row>
        <row r="43">
          <cell r="E43">
            <v>3</v>
          </cell>
          <cell r="F43" t="str">
            <v>Otros créditos a cobrar</v>
          </cell>
          <cell r="G43">
            <v>204480895.52000001</v>
          </cell>
          <cell r="H43">
            <v>0</v>
          </cell>
          <cell r="I43">
            <v>241716662.11000001</v>
          </cell>
          <cell r="J43">
            <v>0</v>
          </cell>
          <cell r="K43">
            <v>446197557.63</v>
          </cell>
          <cell r="L43">
            <v>0</v>
          </cell>
          <cell r="M43">
            <v>5631844</v>
          </cell>
          <cell r="N43">
            <v>108480612.48999999</v>
          </cell>
          <cell r="O43">
            <v>0</v>
          </cell>
          <cell r="P43">
            <v>-102848768.48999999</v>
          </cell>
          <cell r="Q43">
            <v>-102848768.48999999</v>
          </cell>
          <cell r="R43">
            <v>-344565430.60000002</v>
          </cell>
        </row>
        <row r="44">
          <cell r="F44" t="str">
            <v>Previsión para incobrables por cuentas a cobrar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</row>
        <row r="45">
          <cell r="F45" t="str">
            <v>Previsión para incobrables por docum. a cobrar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</row>
        <row r="46">
          <cell r="F46" t="str">
            <v>Previsión para incobrables por otros créditos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E47">
            <v>4</v>
          </cell>
          <cell r="F47" t="str">
            <v>Existencias de productos terminados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</row>
        <row r="48">
          <cell r="E48">
            <v>4</v>
          </cell>
          <cell r="F48" t="str">
            <v>Existencias de productos en proceso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</row>
        <row r="49">
          <cell r="E49">
            <v>4</v>
          </cell>
          <cell r="F49" t="str">
            <v>Existencias de materiales, suministros y mat. primas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</row>
        <row r="50">
          <cell r="E50">
            <v>4</v>
          </cell>
          <cell r="F50" t="str">
            <v>Existencias de productos estratégicos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</row>
        <row r="51">
          <cell r="E51">
            <v>4</v>
          </cell>
          <cell r="F51" t="str">
            <v>Materiales, suministros y materias primas</v>
          </cell>
          <cell r="G51">
            <v>224563762.84999999</v>
          </cell>
          <cell r="H51">
            <v>0</v>
          </cell>
          <cell r="I51">
            <v>265456599.5</v>
          </cell>
          <cell r="J51">
            <v>0</v>
          </cell>
          <cell r="K51">
            <v>490020362.35000002</v>
          </cell>
          <cell r="L51">
            <v>0</v>
          </cell>
          <cell r="M51">
            <v>82091668.170000002</v>
          </cell>
          <cell r="N51">
            <v>10105117.859999999</v>
          </cell>
          <cell r="O51">
            <v>0</v>
          </cell>
          <cell r="P51">
            <v>71986550.310000002</v>
          </cell>
          <cell r="Q51">
            <v>71986550.310000002</v>
          </cell>
          <cell r="R51">
            <v>-193470049.19</v>
          </cell>
        </row>
        <row r="52">
          <cell r="E52">
            <v>4</v>
          </cell>
          <cell r="F52" t="str">
            <v>Otros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E53">
            <v>3</v>
          </cell>
          <cell r="F53" t="str">
            <v>Agencias y sucursales bancarias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</row>
        <row r="54">
          <cell r="E54">
            <v>3</v>
          </cell>
          <cell r="F54" t="str">
            <v>Bancos perceptores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E55">
            <v>3</v>
          </cell>
          <cell r="F55" t="str">
            <v>Banco Central - Cámara compensadora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</row>
        <row r="56">
          <cell r="E56">
            <v>3</v>
          </cell>
          <cell r="F56" t="str">
            <v>Cuenta BNA - DGI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</row>
        <row r="57">
          <cell r="E57">
            <v>3</v>
          </cell>
          <cell r="F57" t="str">
            <v>Cuenta BNA - Aduana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</row>
        <row r="58">
          <cell r="E58">
            <v>3</v>
          </cell>
          <cell r="F58" t="str">
            <v>Cuenta provincias - coparticipación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</row>
        <row r="59">
          <cell r="E59">
            <v>5</v>
          </cell>
          <cell r="F59" t="str">
            <v>Otros activos a asignar</v>
          </cell>
          <cell r="G59">
            <v>565758273.53999996</v>
          </cell>
          <cell r="H59">
            <v>0</v>
          </cell>
          <cell r="I59">
            <v>668782289.38999999</v>
          </cell>
          <cell r="J59">
            <v>0</v>
          </cell>
          <cell r="K59">
            <v>1234540562.9299998</v>
          </cell>
          <cell r="L59">
            <v>0</v>
          </cell>
          <cell r="M59">
            <v>2782552.53</v>
          </cell>
          <cell r="N59">
            <v>2782552.53</v>
          </cell>
          <cell r="O59">
            <v>0</v>
          </cell>
          <cell r="P59">
            <v>0</v>
          </cell>
          <cell r="Q59">
            <v>0</v>
          </cell>
          <cell r="R59">
            <v>-668782289.38999999</v>
          </cell>
        </row>
        <row r="60">
          <cell r="E60">
            <v>7</v>
          </cell>
          <cell r="F60" t="str">
            <v>Ingresos tributarios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1">
          <cell r="E61">
            <v>7</v>
          </cell>
          <cell r="F61" t="str">
            <v>Ingresos no tributarios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</row>
        <row r="62">
          <cell r="E62">
            <v>7</v>
          </cell>
          <cell r="F62" t="str">
            <v>Contribuciones de la Seguridad Social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3">
          <cell r="E63">
            <v>7</v>
          </cell>
          <cell r="F63" t="str">
            <v>Ingresos por venta de bienes y servicios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</row>
        <row r="64">
          <cell r="E64">
            <v>7</v>
          </cell>
          <cell r="F64" t="str">
            <v>Rentas de la propiedad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</row>
        <row r="65">
          <cell r="E65">
            <v>7</v>
          </cell>
          <cell r="F65" t="str">
            <v>Ingresos por venta de activos fijos</v>
          </cell>
          <cell r="G65">
            <v>39484176.5</v>
          </cell>
          <cell r="H65">
            <v>0</v>
          </cell>
          <cell r="I65">
            <v>46674205.560000002</v>
          </cell>
          <cell r="J65">
            <v>0</v>
          </cell>
          <cell r="K65">
            <v>86158382.060000002</v>
          </cell>
          <cell r="L65">
            <v>0</v>
          </cell>
          <cell r="M65">
            <v>0</v>
          </cell>
          <cell r="N65">
            <v>8109875.0499999998</v>
          </cell>
          <cell r="O65">
            <v>0</v>
          </cell>
          <cell r="P65">
            <v>-8109875.0499999998</v>
          </cell>
          <cell r="Q65">
            <v>-8109875.0499999998</v>
          </cell>
          <cell r="R65">
            <v>-54784080.609999999</v>
          </cell>
        </row>
        <row r="66">
          <cell r="E66">
            <v>7</v>
          </cell>
          <cell r="F66" t="str">
            <v>Transferencias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E67">
            <v>7</v>
          </cell>
          <cell r="F67" t="str">
            <v>Contribuciones figurativas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E68">
            <v>7</v>
          </cell>
          <cell r="F68" t="str">
            <v>Otras cuentas a cobrar</v>
          </cell>
          <cell r="G68">
            <v>20116651995.91</v>
          </cell>
          <cell r="H68">
            <v>0</v>
          </cell>
          <cell r="I68">
            <v>23779874207.709999</v>
          </cell>
          <cell r="J68">
            <v>0</v>
          </cell>
          <cell r="K68">
            <v>43896526203.619995</v>
          </cell>
          <cell r="L68">
            <v>0</v>
          </cell>
          <cell r="M68">
            <v>20681198040.330002</v>
          </cell>
          <cell r="N68">
            <v>697826159.23000002</v>
          </cell>
          <cell r="O68">
            <v>0</v>
          </cell>
          <cell r="P68">
            <v>19983371881.100002</v>
          </cell>
          <cell r="Q68">
            <v>19983371881.100002</v>
          </cell>
          <cell r="R68">
            <v>-3796502326.6099968</v>
          </cell>
        </row>
        <row r="69">
          <cell r="E69">
            <v>7</v>
          </cell>
          <cell r="F69" t="str">
            <v>Documentos a cobrar a largo plazo</v>
          </cell>
          <cell r="G69">
            <v>3531377.3</v>
          </cell>
          <cell r="H69">
            <v>0</v>
          </cell>
          <cell r="I69">
            <v>4174437.57</v>
          </cell>
          <cell r="J69">
            <v>0</v>
          </cell>
          <cell r="K69">
            <v>7705814.8699999992</v>
          </cell>
          <cell r="L69">
            <v>0</v>
          </cell>
          <cell r="M69">
            <v>0</v>
          </cell>
          <cell r="N69">
            <v>3015567.06</v>
          </cell>
          <cell r="O69">
            <v>0</v>
          </cell>
          <cell r="P69">
            <v>-3015567.06</v>
          </cell>
          <cell r="Q69">
            <v>-3015567.06</v>
          </cell>
          <cell r="R69">
            <v>-7190004.6299999999</v>
          </cell>
        </row>
        <row r="70">
          <cell r="E70">
            <v>7</v>
          </cell>
          <cell r="F70" t="str">
            <v>Adelantos a proveedores y contratistas a largo plazo</v>
          </cell>
          <cell r="G70">
            <v>37029019.789999999</v>
          </cell>
          <cell r="H70">
            <v>0</v>
          </cell>
          <cell r="I70">
            <v>43771967.259999998</v>
          </cell>
          <cell r="J70">
            <v>0</v>
          </cell>
          <cell r="K70">
            <v>80800987.049999997</v>
          </cell>
          <cell r="L70">
            <v>0</v>
          </cell>
          <cell r="M70">
            <v>18856234.169999998</v>
          </cell>
          <cell r="N70">
            <v>3387000</v>
          </cell>
          <cell r="O70">
            <v>0</v>
          </cell>
          <cell r="P70">
            <v>15469234.169999998</v>
          </cell>
          <cell r="Q70">
            <v>15469234.169999998</v>
          </cell>
          <cell r="R70">
            <v>-28302733.09</v>
          </cell>
        </row>
        <row r="71">
          <cell r="E71">
            <v>7</v>
          </cell>
          <cell r="F71" t="str">
            <v>Gastos pagados por adelantado a largo plazo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</row>
        <row r="72">
          <cell r="E72">
            <v>7</v>
          </cell>
          <cell r="F72" t="str">
            <v>Otros préstamos otorgados a largo plazo</v>
          </cell>
          <cell r="G72">
            <v>413603286.87</v>
          </cell>
          <cell r="H72">
            <v>0</v>
          </cell>
          <cell r="I72">
            <v>488920031.81</v>
          </cell>
          <cell r="J72">
            <v>0</v>
          </cell>
          <cell r="K72">
            <v>902523318.68000007</v>
          </cell>
          <cell r="L72">
            <v>0</v>
          </cell>
          <cell r="M72">
            <v>29163017.190000001</v>
          </cell>
          <cell r="N72">
            <v>35077745.859999999</v>
          </cell>
          <cell r="O72">
            <v>0</v>
          </cell>
          <cell r="P72">
            <v>-5914728.6699999981</v>
          </cell>
          <cell r="Q72">
            <v>-5914728.6699999981</v>
          </cell>
          <cell r="R72">
            <v>-494834760.48000002</v>
          </cell>
        </row>
        <row r="73">
          <cell r="E73">
            <v>7</v>
          </cell>
          <cell r="F73" t="str">
            <v>Otros Fondos Fiduciarios</v>
          </cell>
          <cell r="G73">
            <v>3985726058.8000002</v>
          </cell>
          <cell r="H73">
            <v>0</v>
          </cell>
          <cell r="I73">
            <v>4711522788.3800001</v>
          </cell>
          <cell r="J73">
            <v>0</v>
          </cell>
          <cell r="K73">
            <v>8697248847.1800003</v>
          </cell>
          <cell r="L73">
            <v>0</v>
          </cell>
          <cell r="M73">
            <v>2101278984.6400001</v>
          </cell>
          <cell r="N73">
            <v>708967121.62</v>
          </cell>
          <cell r="O73">
            <v>0</v>
          </cell>
          <cell r="P73">
            <v>1392311863.02</v>
          </cell>
          <cell r="Q73">
            <v>1392311863.02</v>
          </cell>
          <cell r="R73">
            <v>-3319210925.3600001</v>
          </cell>
        </row>
        <row r="74">
          <cell r="E74">
            <v>7</v>
          </cell>
          <cell r="F74" t="str">
            <v>Otros créditos a cobrar a largo plazo</v>
          </cell>
          <cell r="G74">
            <v>1551710648.54</v>
          </cell>
          <cell r="H74">
            <v>0</v>
          </cell>
          <cell r="I74">
            <v>1834275605.9300001</v>
          </cell>
          <cell r="J74">
            <v>0</v>
          </cell>
          <cell r="K74">
            <v>3385986254.4700003</v>
          </cell>
          <cell r="L74">
            <v>0</v>
          </cell>
          <cell r="M74">
            <v>106938475.53</v>
          </cell>
          <cell r="N74">
            <v>3751109.05</v>
          </cell>
          <cell r="O74">
            <v>0</v>
          </cell>
          <cell r="P74">
            <v>103187366.48</v>
          </cell>
          <cell r="Q74">
            <v>103187366.48</v>
          </cell>
          <cell r="R74">
            <v>-1731088239.45</v>
          </cell>
        </row>
        <row r="75">
          <cell r="F75" t="str">
            <v>Prev. p/incobrables por otros créditos a cobrar a largo plazo</v>
          </cell>
          <cell r="G75">
            <v>0</v>
          </cell>
          <cell r="H75">
            <v>212689288.59</v>
          </cell>
          <cell r="I75">
            <v>0</v>
          </cell>
          <cell r="J75">
            <v>251419795.34999999</v>
          </cell>
          <cell r="K75">
            <v>0</v>
          </cell>
          <cell r="L75">
            <v>464109083.94</v>
          </cell>
          <cell r="M75">
            <v>0</v>
          </cell>
          <cell r="N75">
            <v>3030096.8</v>
          </cell>
          <cell r="O75">
            <v>0</v>
          </cell>
          <cell r="P75">
            <v>-3030096.8</v>
          </cell>
          <cell r="Q75">
            <v>-3030096.8</v>
          </cell>
          <cell r="R75">
            <v>248389698.54999998</v>
          </cell>
        </row>
        <row r="76">
          <cell r="E76">
            <v>6</v>
          </cell>
          <cell r="F76" t="str">
            <v>Acciones</v>
          </cell>
          <cell r="G76">
            <v>251298040.53</v>
          </cell>
          <cell r="H76">
            <v>0</v>
          </cell>
          <cell r="I76">
            <v>297059162.41000003</v>
          </cell>
          <cell r="J76">
            <v>0</v>
          </cell>
          <cell r="K76">
            <v>548357202.94000006</v>
          </cell>
          <cell r="L76">
            <v>0</v>
          </cell>
          <cell r="M76">
            <v>303466738.50999999</v>
          </cell>
          <cell r="N76">
            <v>309697589.81</v>
          </cell>
          <cell r="O76">
            <v>0</v>
          </cell>
          <cell r="P76">
            <v>-6230851.3000000119</v>
          </cell>
          <cell r="Q76">
            <v>-6230851.3000000119</v>
          </cell>
          <cell r="R76">
            <v>-303290013.71000004</v>
          </cell>
        </row>
        <row r="77">
          <cell r="E77">
            <v>10</v>
          </cell>
          <cell r="F77" t="str">
            <v>Aportes de capital</v>
          </cell>
          <cell r="G77">
            <v>7624480193.0200005</v>
          </cell>
          <cell r="H77">
            <v>0</v>
          </cell>
          <cell r="I77">
            <v>9012890411.6900005</v>
          </cell>
          <cell r="J77">
            <v>0</v>
          </cell>
          <cell r="K77">
            <v>16637370604.710001</v>
          </cell>
          <cell r="L77">
            <v>0</v>
          </cell>
          <cell r="M77">
            <v>9155166269.0200005</v>
          </cell>
          <cell r="N77">
            <v>26124359.07</v>
          </cell>
          <cell r="O77">
            <v>0</v>
          </cell>
          <cell r="P77">
            <v>9129041909.9500008</v>
          </cell>
          <cell r="Q77">
            <v>9129041909.9500008</v>
          </cell>
          <cell r="R77">
            <v>116151498.26000023</v>
          </cell>
        </row>
        <row r="78">
          <cell r="E78">
            <v>6</v>
          </cell>
          <cell r="F78" t="str">
            <v>Títulos y valores en cartera</v>
          </cell>
          <cell r="G78">
            <v>587691937.84000003</v>
          </cell>
          <cell r="H78">
            <v>0</v>
          </cell>
          <cell r="I78">
            <v>694710052.02999997</v>
          </cell>
          <cell r="J78">
            <v>0</v>
          </cell>
          <cell r="K78">
            <v>1282401989.8699999</v>
          </cell>
          <cell r="L78">
            <v>0</v>
          </cell>
          <cell r="M78">
            <v>3585499579.5100002</v>
          </cell>
          <cell r="N78">
            <v>2696920228.4500003</v>
          </cell>
          <cell r="O78">
            <v>0</v>
          </cell>
          <cell r="P78">
            <v>888579351.05999994</v>
          </cell>
          <cell r="Q78">
            <v>888579351.05999994</v>
          </cell>
          <cell r="R78">
            <v>193869299.02999997</v>
          </cell>
        </row>
        <row r="79">
          <cell r="E79">
            <v>10</v>
          </cell>
          <cell r="F79" t="str">
            <v>Participaciones en patrimonios de Org.Descentralizados</v>
          </cell>
          <cell r="G79">
            <v>1529815362.55</v>
          </cell>
          <cell r="H79">
            <v>0</v>
          </cell>
          <cell r="I79">
            <v>1808393210.25</v>
          </cell>
          <cell r="J79">
            <v>0</v>
          </cell>
          <cell r="K79">
            <v>3338208572.8000002</v>
          </cell>
          <cell r="L79">
            <v>0</v>
          </cell>
          <cell r="M79">
            <v>3290795331.25</v>
          </cell>
          <cell r="N79">
            <v>4216160730.54</v>
          </cell>
          <cell r="O79">
            <v>0</v>
          </cell>
          <cell r="P79">
            <v>-925365399.28999996</v>
          </cell>
          <cell r="Q79">
            <v>-925365399.28999996</v>
          </cell>
          <cell r="R79">
            <v>-2733758609.54</v>
          </cell>
        </row>
        <row r="80">
          <cell r="E80">
            <v>10</v>
          </cell>
          <cell r="F80" t="str">
            <v>Participaciones en patrimonios de Inst.de Seg.Social</v>
          </cell>
          <cell r="G80">
            <v>0</v>
          </cell>
          <cell r="H80">
            <v>14927563652.969999</v>
          </cell>
          <cell r="I80">
            <v>0</v>
          </cell>
          <cell r="J80">
            <v>17645858066.610001</v>
          </cell>
          <cell r="K80">
            <v>0</v>
          </cell>
          <cell r="L80">
            <v>32573421719.580002</v>
          </cell>
          <cell r="M80">
            <v>17800986545.43</v>
          </cell>
          <cell r="N80">
            <v>17960104070.139999</v>
          </cell>
          <cell r="O80">
            <v>0</v>
          </cell>
          <cell r="P80">
            <v>-159117524.70999908</v>
          </cell>
          <cell r="Q80">
            <v>-159117524.70999908</v>
          </cell>
          <cell r="R80">
            <v>17486740541.900002</v>
          </cell>
        </row>
        <row r="81">
          <cell r="E81">
            <v>10</v>
          </cell>
          <cell r="F81" t="str">
            <v>Participaciones en patrimonios de Univ.Nacionales</v>
          </cell>
          <cell r="G81">
            <v>1204888372.3199999</v>
          </cell>
          <cell r="H81">
            <v>0</v>
          </cell>
          <cell r="I81">
            <v>1424297340.03</v>
          </cell>
          <cell r="J81">
            <v>0</v>
          </cell>
          <cell r="K81">
            <v>2629185712.3499999</v>
          </cell>
          <cell r="L81">
            <v>0</v>
          </cell>
          <cell r="M81">
            <v>2055262469.75</v>
          </cell>
          <cell r="N81">
            <v>433487371.66000003</v>
          </cell>
          <cell r="O81">
            <v>0</v>
          </cell>
          <cell r="P81">
            <v>1621775098.0899999</v>
          </cell>
          <cell r="Q81">
            <v>1621775098.0899999</v>
          </cell>
          <cell r="R81">
            <v>197477758.05999994</v>
          </cell>
        </row>
        <row r="82">
          <cell r="E82">
            <v>10</v>
          </cell>
          <cell r="F82" t="str">
            <v>Otros aportes y participaciones de capital</v>
          </cell>
          <cell r="G82">
            <v>4842139784.1000004</v>
          </cell>
          <cell r="H82">
            <v>0</v>
          </cell>
          <cell r="I82">
            <v>5723888596.6400003</v>
          </cell>
          <cell r="J82">
            <v>0</v>
          </cell>
          <cell r="K82">
            <v>10566028380.740002</v>
          </cell>
          <cell r="L82">
            <v>0</v>
          </cell>
          <cell r="M82">
            <v>64846261707.449997</v>
          </cell>
          <cell r="N82">
            <v>39117357264.07</v>
          </cell>
          <cell r="O82">
            <v>0</v>
          </cell>
          <cell r="P82">
            <v>25728904443.379997</v>
          </cell>
          <cell r="Q82">
            <v>25728904443.379997</v>
          </cell>
          <cell r="R82">
            <v>20005015846.739998</v>
          </cell>
        </row>
        <row r="83">
          <cell r="E83">
            <v>6</v>
          </cell>
          <cell r="F83" t="str">
            <v>Prestamos otorgados a largo plazo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</row>
        <row r="84">
          <cell r="F84" t="str">
            <v>Prev. por fluct. de la moneda a largo plazo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5">
          <cell r="F85" t="str">
            <v>Prev. por dif. de cotización a largo plazo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</row>
        <row r="86">
          <cell r="E86">
            <v>8</v>
          </cell>
          <cell r="F86" t="str">
            <v>Edificios e instalaciones</v>
          </cell>
          <cell r="G86">
            <v>6057090564.1199999</v>
          </cell>
          <cell r="H86">
            <v>0</v>
          </cell>
          <cell r="I86">
            <v>7160080698.7600002</v>
          </cell>
          <cell r="J86">
            <v>0</v>
          </cell>
          <cell r="K86">
            <v>13217171262.880001</v>
          </cell>
          <cell r="L86">
            <v>0</v>
          </cell>
          <cell r="M86">
            <v>7223437997.4099998</v>
          </cell>
          <cell r="N86">
            <v>276538343.94999999</v>
          </cell>
          <cell r="O86">
            <v>0</v>
          </cell>
          <cell r="P86">
            <v>6946899653.46</v>
          </cell>
          <cell r="Q86">
            <v>6946899653.46</v>
          </cell>
          <cell r="R86">
            <v>-213181045.30000019</v>
          </cell>
        </row>
        <row r="87">
          <cell r="E87">
            <v>8</v>
          </cell>
          <cell r="F87" t="str">
            <v>Tierras y terrenos</v>
          </cell>
          <cell r="G87">
            <v>681077105.32000005</v>
          </cell>
          <cell r="H87">
            <v>0</v>
          </cell>
          <cell r="I87">
            <v>805100565.12</v>
          </cell>
          <cell r="J87">
            <v>0</v>
          </cell>
          <cell r="K87">
            <v>1486177670.4400001</v>
          </cell>
          <cell r="L87">
            <v>0</v>
          </cell>
          <cell r="M87">
            <v>667332989.08000004</v>
          </cell>
          <cell r="N87">
            <v>123389463.11</v>
          </cell>
          <cell r="O87">
            <v>0</v>
          </cell>
          <cell r="P87">
            <v>543943525.97000003</v>
          </cell>
          <cell r="Q87">
            <v>543943525.97000003</v>
          </cell>
          <cell r="R87">
            <v>-261157039.14999998</v>
          </cell>
        </row>
        <row r="88">
          <cell r="E88">
            <v>8</v>
          </cell>
          <cell r="F88" t="str">
            <v>Maquinaria y equipo de producción</v>
          </cell>
          <cell r="G88">
            <v>13428974.880000001</v>
          </cell>
          <cell r="H88">
            <v>0</v>
          </cell>
          <cell r="I88">
            <v>15874377.779999999</v>
          </cell>
          <cell r="J88">
            <v>0</v>
          </cell>
          <cell r="K88">
            <v>29303352.66</v>
          </cell>
          <cell r="L88">
            <v>0</v>
          </cell>
          <cell r="M88">
            <v>16085496.380000001</v>
          </cell>
          <cell r="N88">
            <v>5130401.12</v>
          </cell>
          <cell r="O88">
            <v>0</v>
          </cell>
          <cell r="P88">
            <v>10955095.260000002</v>
          </cell>
          <cell r="Q88">
            <v>10955095.260000002</v>
          </cell>
          <cell r="R88">
            <v>-4919282.5199999977</v>
          </cell>
        </row>
        <row r="89">
          <cell r="E89">
            <v>8</v>
          </cell>
          <cell r="F89" t="str">
            <v>Equipo de transporte, tracción y elevación</v>
          </cell>
          <cell r="G89">
            <v>372577145.32999998</v>
          </cell>
          <cell r="H89">
            <v>0</v>
          </cell>
          <cell r="I89">
            <v>440423070.92000002</v>
          </cell>
          <cell r="J89">
            <v>0</v>
          </cell>
          <cell r="K89">
            <v>813000216.25</v>
          </cell>
          <cell r="L89">
            <v>0</v>
          </cell>
          <cell r="M89">
            <v>485596495.76999998</v>
          </cell>
          <cell r="N89">
            <v>40475815.310000002</v>
          </cell>
          <cell r="O89">
            <v>0</v>
          </cell>
          <cell r="P89">
            <v>445120680.45999998</v>
          </cell>
          <cell r="Q89">
            <v>445120680.45999998</v>
          </cell>
          <cell r="R89">
            <v>4697609.5399999619</v>
          </cell>
        </row>
        <row r="90">
          <cell r="E90">
            <v>8</v>
          </cell>
          <cell r="F90" t="str">
            <v>Equipo sanitario y de laboratorio</v>
          </cell>
          <cell r="G90">
            <v>82357718.400000006</v>
          </cell>
          <cell r="H90">
            <v>0</v>
          </cell>
          <cell r="I90">
            <v>97354976.560000002</v>
          </cell>
          <cell r="J90">
            <v>0</v>
          </cell>
          <cell r="K90">
            <v>179712694.96000001</v>
          </cell>
          <cell r="L90">
            <v>0</v>
          </cell>
          <cell r="M90">
            <v>98213891.260000005</v>
          </cell>
          <cell r="N90">
            <v>826824.62</v>
          </cell>
          <cell r="O90">
            <v>0</v>
          </cell>
          <cell r="P90">
            <v>97387066.640000001</v>
          </cell>
          <cell r="Q90">
            <v>97387066.640000001</v>
          </cell>
          <cell r="R90">
            <v>32090.079999998212</v>
          </cell>
        </row>
        <row r="91">
          <cell r="E91">
            <v>8</v>
          </cell>
          <cell r="F91" t="str">
            <v>Equipo de comunicación y señalamiento</v>
          </cell>
          <cell r="G91">
            <v>244066858.09</v>
          </cell>
          <cell r="H91">
            <v>0</v>
          </cell>
          <cell r="I91">
            <v>288511188.88</v>
          </cell>
          <cell r="J91">
            <v>0</v>
          </cell>
          <cell r="K91">
            <v>532578046.97000003</v>
          </cell>
          <cell r="L91">
            <v>0</v>
          </cell>
          <cell r="M91">
            <v>324266362.50999999</v>
          </cell>
          <cell r="N91">
            <v>2586145.4700000002</v>
          </cell>
          <cell r="O91">
            <v>0</v>
          </cell>
          <cell r="P91">
            <v>321680217.03999996</v>
          </cell>
          <cell r="Q91">
            <v>321680217.03999996</v>
          </cell>
          <cell r="R91">
            <v>33169028.159999967</v>
          </cell>
        </row>
        <row r="92">
          <cell r="E92">
            <v>8</v>
          </cell>
          <cell r="F92" t="str">
            <v>Equipo educacional y recreativo</v>
          </cell>
          <cell r="G92">
            <v>21742052.800000001</v>
          </cell>
          <cell r="H92">
            <v>0</v>
          </cell>
          <cell r="I92">
            <v>25701258.870000001</v>
          </cell>
          <cell r="J92">
            <v>0</v>
          </cell>
          <cell r="K92">
            <v>47443311.670000002</v>
          </cell>
          <cell r="L92">
            <v>0</v>
          </cell>
          <cell r="M92">
            <v>25690829.379999999</v>
          </cell>
          <cell r="N92">
            <v>1349652.42</v>
          </cell>
          <cell r="O92">
            <v>0</v>
          </cell>
          <cell r="P92">
            <v>24341176.960000001</v>
          </cell>
          <cell r="Q92">
            <v>24341176.960000001</v>
          </cell>
          <cell r="R92">
            <v>-1360081.9100000001</v>
          </cell>
        </row>
        <row r="93">
          <cell r="E93">
            <v>8</v>
          </cell>
          <cell r="F93" t="str">
            <v>Equipos para computación</v>
          </cell>
          <cell r="G93">
            <v>235639185.83000001</v>
          </cell>
          <cell r="H93">
            <v>0</v>
          </cell>
          <cell r="I93">
            <v>278548845.93000001</v>
          </cell>
          <cell r="J93">
            <v>0</v>
          </cell>
          <cell r="K93">
            <v>514188031.75999999</v>
          </cell>
          <cell r="L93">
            <v>0</v>
          </cell>
          <cell r="M93">
            <v>282885383.10000002</v>
          </cell>
          <cell r="N93">
            <v>20054650.549999997</v>
          </cell>
          <cell r="O93">
            <v>0</v>
          </cell>
          <cell r="P93">
            <v>262830732.55000001</v>
          </cell>
          <cell r="Q93">
            <v>262830732.55000001</v>
          </cell>
          <cell r="R93">
            <v>-15718113.379999995</v>
          </cell>
        </row>
        <row r="94">
          <cell r="E94">
            <v>8</v>
          </cell>
          <cell r="F94" t="str">
            <v>Equipos de oficina y muebles</v>
          </cell>
          <cell r="G94">
            <v>108489995.59</v>
          </cell>
          <cell r="H94">
            <v>0</v>
          </cell>
          <cell r="I94">
            <v>128245915.3</v>
          </cell>
          <cell r="J94">
            <v>0</v>
          </cell>
          <cell r="K94">
            <v>236735910.88999999</v>
          </cell>
          <cell r="L94">
            <v>0</v>
          </cell>
          <cell r="M94">
            <v>133230101.88</v>
          </cell>
          <cell r="N94">
            <v>8397687.2400000002</v>
          </cell>
          <cell r="O94">
            <v>0</v>
          </cell>
          <cell r="P94">
            <v>124832414.64</v>
          </cell>
          <cell r="Q94">
            <v>124832414.64</v>
          </cell>
          <cell r="R94">
            <v>-3413500.6599999964</v>
          </cell>
        </row>
        <row r="95">
          <cell r="E95">
            <v>8</v>
          </cell>
          <cell r="F95" t="str">
            <v>Herramientas y repuestos mayores</v>
          </cell>
          <cell r="G95">
            <v>50656283.299999997</v>
          </cell>
          <cell r="H95">
            <v>0</v>
          </cell>
          <cell r="I95">
            <v>59880741.829999998</v>
          </cell>
          <cell r="J95">
            <v>0</v>
          </cell>
          <cell r="K95">
            <v>110537025.13</v>
          </cell>
          <cell r="L95">
            <v>0</v>
          </cell>
          <cell r="M95">
            <v>67449832.290000007</v>
          </cell>
          <cell r="N95">
            <v>4004004.03</v>
          </cell>
          <cell r="O95">
            <v>0</v>
          </cell>
          <cell r="P95">
            <v>63445828.260000005</v>
          </cell>
          <cell r="Q95">
            <v>63445828.260000005</v>
          </cell>
          <cell r="R95">
            <v>3565086.4300000072</v>
          </cell>
        </row>
        <row r="96">
          <cell r="E96">
            <v>8</v>
          </cell>
          <cell r="F96" t="str">
            <v>Equipos varios</v>
          </cell>
          <cell r="G96">
            <v>357502480.02999997</v>
          </cell>
          <cell r="H96">
            <v>0</v>
          </cell>
          <cell r="I96">
            <v>422603324.13999999</v>
          </cell>
          <cell r="J96">
            <v>0</v>
          </cell>
          <cell r="K96">
            <v>780105804.16999996</v>
          </cell>
          <cell r="L96">
            <v>0</v>
          </cell>
          <cell r="M96">
            <v>425615922.25999999</v>
          </cell>
          <cell r="N96">
            <v>3839227.3</v>
          </cell>
          <cell r="O96">
            <v>0</v>
          </cell>
          <cell r="P96">
            <v>421776694.95999998</v>
          </cell>
          <cell r="Q96">
            <v>421776694.95999998</v>
          </cell>
          <cell r="R96">
            <v>-826629.18000000715</v>
          </cell>
        </row>
        <row r="97">
          <cell r="E97">
            <v>8</v>
          </cell>
          <cell r="F97" t="str">
            <v>Equipo militar y de seguridad</v>
          </cell>
          <cell r="G97">
            <v>4386747748.5200005</v>
          </cell>
          <cell r="H97">
            <v>0</v>
          </cell>
          <cell r="I97">
            <v>5185570126.7799997</v>
          </cell>
          <cell r="J97">
            <v>0</v>
          </cell>
          <cell r="K97">
            <v>9572317875.2999992</v>
          </cell>
          <cell r="L97">
            <v>0</v>
          </cell>
          <cell r="M97">
            <v>5212926738.1900005</v>
          </cell>
          <cell r="N97">
            <v>33116927.580000002</v>
          </cell>
          <cell r="O97">
            <v>0</v>
          </cell>
          <cell r="P97">
            <v>5179809810.6100006</v>
          </cell>
          <cell r="Q97">
            <v>5179809810.6100006</v>
          </cell>
          <cell r="R97">
            <v>-5760316.1699991226</v>
          </cell>
        </row>
        <row r="98">
          <cell r="E98">
            <v>8</v>
          </cell>
          <cell r="F98" t="str">
            <v>Constr. en proc. en bs. de dominio privado</v>
          </cell>
          <cell r="G98">
            <v>361261289.26999998</v>
          </cell>
          <cell r="H98">
            <v>0</v>
          </cell>
          <cell r="I98">
            <v>427046608.77999997</v>
          </cell>
          <cell r="J98">
            <v>0</v>
          </cell>
          <cell r="K98">
            <v>788307898.04999995</v>
          </cell>
          <cell r="L98">
            <v>0</v>
          </cell>
          <cell r="M98">
            <v>462347524.28000003</v>
          </cell>
          <cell r="N98">
            <v>33882311.350000001</v>
          </cell>
          <cell r="O98">
            <v>0</v>
          </cell>
          <cell r="P98">
            <v>428465212.93000001</v>
          </cell>
          <cell r="Q98">
            <v>428465212.93000001</v>
          </cell>
          <cell r="R98">
            <v>1418604.1500000358</v>
          </cell>
        </row>
        <row r="99">
          <cell r="E99">
            <v>8</v>
          </cell>
          <cell r="F99" t="str">
            <v>Constr. en proc. en bs. de dominio público</v>
          </cell>
          <cell r="G99">
            <v>300799769.26999998</v>
          </cell>
          <cell r="H99">
            <v>0</v>
          </cell>
          <cell r="I99">
            <v>355575106.44999999</v>
          </cell>
          <cell r="J99">
            <v>0</v>
          </cell>
          <cell r="K99">
            <v>656374875.72000003</v>
          </cell>
          <cell r="L99">
            <v>0</v>
          </cell>
          <cell r="M99">
            <v>230318314.74000001</v>
          </cell>
          <cell r="N99">
            <v>219489442.03999999</v>
          </cell>
          <cell r="O99">
            <v>0</v>
          </cell>
          <cell r="P99">
            <v>10828872.700000018</v>
          </cell>
          <cell r="Q99">
            <v>10828872.700000018</v>
          </cell>
          <cell r="R99">
            <v>-344746233.75</v>
          </cell>
        </row>
        <row r="100">
          <cell r="E100">
            <v>8</v>
          </cell>
          <cell r="F100" t="str">
            <v>Bienes de Dominio Público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355418863.19999999</v>
          </cell>
          <cell r="N100">
            <v>1</v>
          </cell>
          <cell r="O100">
            <v>0</v>
          </cell>
          <cell r="P100">
            <v>355418862.19999999</v>
          </cell>
          <cell r="Q100">
            <v>355418862.19999999</v>
          </cell>
          <cell r="R100">
            <v>355418862.19999999</v>
          </cell>
        </row>
        <row r="101">
          <cell r="E101">
            <v>8</v>
          </cell>
          <cell r="F101" t="str">
            <v>Otros bienes de uso</v>
          </cell>
          <cell r="G101">
            <v>3517179063.21</v>
          </cell>
          <cell r="H101">
            <v>0</v>
          </cell>
          <cell r="I101">
            <v>4157653853.4400001</v>
          </cell>
          <cell r="J101">
            <v>0</v>
          </cell>
          <cell r="K101">
            <v>7674832916.6499996</v>
          </cell>
          <cell r="L101">
            <v>0</v>
          </cell>
          <cell r="M101">
            <v>230881320.65000001</v>
          </cell>
          <cell r="N101">
            <v>627559.73</v>
          </cell>
          <cell r="O101">
            <v>0</v>
          </cell>
          <cell r="P101">
            <v>230253760.92000002</v>
          </cell>
          <cell r="Q101">
            <v>230253760.92000002</v>
          </cell>
          <cell r="R101">
            <v>-3927400092.52</v>
          </cell>
        </row>
        <row r="102">
          <cell r="E102">
            <v>100</v>
          </cell>
          <cell r="F102" t="str">
            <v>Edificios e instalaciones</v>
          </cell>
          <cell r="G102">
            <v>0</v>
          </cell>
          <cell r="H102">
            <v>368016508.57999998</v>
          </cell>
          <cell r="I102">
            <v>0</v>
          </cell>
          <cell r="J102">
            <v>435031946.77999997</v>
          </cell>
          <cell r="K102">
            <v>0</v>
          </cell>
          <cell r="L102">
            <v>803048455.3599999</v>
          </cell>
          <cell r="M102">
            <v>8725927.25</v>
          </cell>
          <cell r="N102">
            <v>569595222.00999999</v>
          </cell>
          <cell r="O102">
            <v>0</v>
          </cell>
          <cell r="P102">
            <v>-560869294.75999999</v>
          </cell>
          <cell r="Q102">
            <v>-560869294.75999999</v>
          </cell>
          <cell r="R102">
            <v>-125837347.98000002</v>
          </cell>
        </row>
        <row r="103">
          <cell r="E103">
            <v>100</v>
          </cell>
          <cell r="F103" t="str">
            <v>Maquinaria y equipo de producción</v>
          </cell>
          <cell r="G103">
            <v>0</v>
          </cell>
          <cell r="H103">
            <v>8249882.4400000004</v>
          </cell>
          <cell r="I103">
            <v>0</v>
          </cell>
          <cell r="J103">
            <v>9752177.7799999993</v>
          </cell>
          <cell r="K103">
            <v>0</v>
          </cell>
          <cell r="L103">
            <v>18002060.219999999</v>
          </cell>
          <cell r="M103">
            <v>2183906.06</v>
          </cell>
          <cell r="N103">
            <v>9359092.3599999994</v>
          </cell>
          <cell r="O103">
            <v>0</v>
          </cell>
          <cell r="P103">
            <v>-7175186.2999999989</v>
          </cell>
          <cell r="Q103">
            <v>-7175186.2999999989</v>
          </cell>
          <cell r="R103">
            <v>2576991.4800000004</v>
          </cell>
        </row>
        <row r="104">
          <cell r="E104">
            <v>100</v>
          </cell>
          <cell r="F104" t="str">
            <v>Equipo de transporte, tracción y elevación</v>
          </cell>
          <cell r="G104">
            <v>0</v>
          </cell>
          <cell r="H104">
            <v>218125768.03</v>
          </cell>
          <cell r="I104">
            <v>0</v>
          </cell>
          <cell r="J104">
            <v>257846252.25999999</v>
          </cell>
          <cell r="K104">
            <v>0</v>
          </cell>
          <cell r="L104">
            <v>475972020.28999996</v>
          </cell>
          <cell r="M104">
            <v>25330812.920000002</v>
          </cell>
          <cell r="N104">
            <v>283389126.36000001</v>
          </cell>
          <cell r="O104">
            <v>0</v>
          </cell>
          <cell r="P104">
            <v>-258058313.44</v>
          </cell>
          <cell r="Q104">
            <v>-258058313.44</v>
          </cell>
          <cell r="R104">
            <v>-212061.18000000715</v>
          </cell>
        </row>
        <row r="105">
          <cell r="E105">
            <v>100</v>
          </cell>
          <cell r="F105" t="str">
            <v>Equipo sanitario y de laboratorio</v>
          </cell>
          <cell r="G105">
            <v>0</v>
          </cell>
          <cell r="H105">
            <v>62914285.390000001</v>
          </cell>
          <cell r="I105">
            <v>0</v>
          </cell>
          <cell r="J105">
            <v>74370913.849999994</v>
          </cell>
          <cell r="K105">
            <v>0</v>
          </cell>
          <cell r="L105">
            <v>137285199.24000001</v>
          </cell>
          <cell r="M105">
            <v>516448.53</v>
          </cell>
          <cell r="N105">
            <v>95152685.739999995</v>
          </cell>
          <cell r="O105">
            <v>0</v>
          </cell>
          <cell r="P105">
            <v>-94636237.209999993</v>
          </cell>
          <cell r="Q105">
            <v>-94636237.209999993</v>
          </cell>
          <cell r="R105">
            <v>-20265323.359999999</v>
          </cell>
        </row>
        <row r="106">
          <cell r="E106">
            <v>100</v>
          </cell>
          <cell r="F106" t="str">
            <v>Equipo de comunicación y señalamiento</v>
          </cell>
          <cell r="G106">
            <v>0</v>
          </cell>
          <cell r="H106">
            <v>103042353.17</v>
          </cell>
          <cell r="I106">
            <v>0</v>
          </cell>
          <cell r="J106">
            <v>121806262.64</v>
          </cell>
          <cell r="K106">
            <v>0</v>
          </cell>
          <cell r="L106">
            <v>224848615.81</v>
          </cell>
          <cell r="M106">
            <v>1426907.56</v>
          </cell>
          <cell r="N106">
            <v>142278009.19</v>
          </cell>
          <cell r="O106">
            <v>0</v>
          </cell>
          <cell r="P106">
            <v>-140851101.63</v>
          </cell>
          <cell r="Q106">
            <v>-140851101.63</v>
          </cell>
          <cell r="R106">
            <v>-19044838.989999995</v>
          </cell>
        </row>
        <row r="107">
          <cell r="E107">
            <v>100</v>
          </cell>
          <cell r="F107" t="str">
            <v>Equipo educacional y recreativo</v>
          </cell>
          <cell r="G107">
            <v>0</v>
          </cell>
          <cell r="H107">
            <v>19684383.300000001</v>
          </cell>
          <cell r="I107">
            <v>0</v>
          </cell>
          <cell r="J107">
            <v>23268889.809999999</v>
          </cell>
          <cell r="K107">
            <v>0</v>
          </cell>
          <cell r="L107">
            <v>42953273.109999999</v>
          </cell>
          <cell r="M107">
            <v>1180233.22</v>
          </cell>
          <cell r="N107">
            <v>24434578.02</v>
          </cell>
          <cell r="O107">
            <v>0</v>
          </cell>
          <cell r="P107">
            <v>-23254344.800000001</v>
          </cell>
          <cell r="Q107">
            <v>-23254344.800000001</v>
          </cell>
          <cell r="R107">
            <v>14545.009999997914</v>
          </cell>
        </row>
        <row r="108">
          <cell r="E108">
            <v>100</v>
          </cell>
          <cell r="F108" t="str">
            <v>Equipos para computación</v>
          </cell>
          <cell r="G108">
            <v>0</v>
          </cell>
          <cell r="H108">
            <v>199963616.31</v>
          </cell>
          <cell r="I108">
            <v>0</v>
          </cell>
          <cell r="J108">
            <v>236376790.88</v>
          </cell>
          <cell r="K108">
            <v>0</v>
          </cell>
          <cell r="L108">
            <v>436340407.19</v>
          </cell>
          <cell r="M108">
            <v>7566382.0099999998</v>
          </cell>
          <cell r="N108">
            <v>274656762.06</v>
          </cell>
          <cell r="O108">
            <v>0</v>
          </cell>
          <cell r="P108">
            <v>-267090380.05000001</v>
          </cell>
          <cell r="Q108">
            <v>-267090380.05000001</v>
          </cell>
          <cell r="R108">
            <v>-30713589.170000017</v>
          </cell>
        </row>
        <row r="109">
          <cell r="E109">
            <v>100</v>
          </cell>
          <cell r="F109" t="str">
            <v>Equipos de oficina y muebles</v>
          </cell>
          <cell r="G109">
            <v>0</v>
          </cell>
          <cell r="H109">
            <v>70382208.189999998</v>
          </cell>
          <cell r="I109">
            <v>0</v>
          </cell>
          <cell r="J109">
            <v>83198737.920000002</v>
          </cell>
          <cell r="K109">
            <v>0</v>
          </cell>
          <cell r="L109">
            <v>153580946.11000001</v>
          </cell>
          <cell r="M109">
            <v>5308827.5199999996</v>
          </cell>
          <cell r="N109">
            <v>102074249.15000001</v>
          </cell>
          <cell r="O109">
            <v>0</v>
          </cell>
          <cell r="P109">
            <v>-96765421.63000001</v>
          </cell>
          <cell r="Q109">
            <v>-96765421.63000001</v>
          </cell>
          <cell r="R109">
            <v>-13566683.710000008</v>
          </cell>
        </row>
        <row r="110">
          <cell r="E110">
            <v>100</v>
          </cell>
          <cell r="F110" t="str">
            <v>Herramientas y repuestos mayores</v>
          </cell>
          <cell r="G110">
            <v>0</v>
          </cell>
          <cell r="H110">
            <v>12955643.25</v>
          </cell>
          <cell r="I110">
            <v>0</v>
          </cell>
          <cell r="J110">
            <v>15314852.93</v>
          </cell>
          <cell r="K110">
            <v>0</v>
          </cell>
          <cell r="L110">
            <v>28270496.18</v>
          </cell>
          <cell r="M110">
            <v>199465.31</v>
          </cell>
          <cell r="N110">
            <v>21438058.309999999</v>
          </cell>
          <cell r="O110">
            <v>0</v>
          </cell>
          <cell r="P110">
            <v>-21238593</v>
          </cell>
          <cell r="Q110">
            <v>-21238593</v>
          </cell>
          <cell r="R110">
            <v>-5923740.0700000003</v>
          </cell>
        </row>
        <row r="111">
          <cell r="E111">
            <v>100</v>
          </cell>
          <cell r="F111" t="str">
            <v>Equipos varios</v>
          </cell>
          <cell r="G111">
            <v>0</v>
          </cell>
          <cell r="H111">
            <v>61682317.240000002</v>
          </cell>
          <cell r="I111">
            <v>0</v>
          </cell>
          <cell r="J111">
            <v>72914605.530000001</v>
          </cell>
          <cell r="K111">
            <v>0</v>
          </cell>
          <cell r="L111">
            <v>134596922.77000001</v>
          </cell>
          <cell r="M111">
            <v>2147057.54</v>
          </cell>
          <cell r="N111">
            <v>98309981.120000005</v>
          </cell>
          <cell r="O111">
            <v>0</v>
          </cell>
          <cell r="P111">
            <v>-96162923.579999998</v>
          </cell>
          <cell r="Q111">
            <v>-96162923.579999998</v>
          </cell>
          <cell r="R111">
            <v>-23248318.049999997</v>
          </cell>
        </row>
        <row r="112">
          <cell r="E112">
            <v>100</v>
          </cell>
          <cell r="F112" t="str">
            <v>Equipo militar y de seguridad</v>
          </cell>
          <cell r="G112">
            <v>0</v>
          </cell>
          <cell r="H112">
            <v>1052239883.54</v>
          </cell>
          <cell r="I112">
            <v>0</v>
          </cell>
          <cell r="J112">
            <v>1243851714.0899999</v>
          </cell>
          <cell r="K112">
            <v>0</v>
          </cell>
          <cell r="L112">
            <v>2296091597.6300001</v>
          </cell>
          <cell r="M112">
            <v>53634.62</v>
          </cell>
          <cell r="N112">
            <v>4958060643.3800001</v>
          </cell>
          <cell r="O112">
            <v>0</v>
          </cell>
          <cell r="P112">
            <v>-4958007008.7600002</v>
          </cell>
          <cell r="Q112">
            <v>-4958007008.7600002</v>
          </cell>
          <cell r="R112">
            <v>-3714155294.6700001</v>
          </cell>
        </row>
        <row r="113">
          <cell r="E113">
            <v>100</v>
          </cell>
          <cell r="F113" t="str">
            <v>Otros bienes de uso</v>
          </cell>
          <cell r="G113">
            <v>0</v>
          </cell>
          <cell r="H113">
            <v>41326380.039999999</v>
          </cell>
          <cell r="I113">
            <v>0</v>
          </cell>
          <cell r="J113">
            <v>48851872.520000003</v>
          </cell>
          <cell r="K113">
            <v>0</v>
          </cell>
          <cell r="L113">
            <v>90178252.560000002</v>
          </cell>
          <cell r="M113">
            <v>14632.46</v>
          </cell>
          <cell r="N113">
            <v>63935596.75</v>
          </cell>
          <cell r="O113">
            <v>0</v>
          </cell>
          <cell r="P113">
            <v>-63920964.289999999</v>
          </cell>
          <cell r="Q113">
            <v>-63920964.289999999</v>
          </cell>
          <cell r="R113">
            <v>-15069091.769999996</v>
          </cell>
        </row>
        <row r="114">
          <cell r="E114">
            <v>9</v>
          </cell>
          <cell r="F114" t="str">
            <v>Activos intangibles</v>
          </cell>
          <cell r="G114">
            <v>12746777.640000001</v>
          </cell>
          <cell r="H114">
            <v>0</v>
          </cell>
          <cell r="I114">
            <v>15067953.1</v>
          </cell>
          <cell r="J114">
            <v>0</v>
          </cell>
          <cell r="K114">
            <v>27814730.740000002</v>
          </cell>
          <cell r="L114">
            <v>0</v>
          </cell>
          <cell r="M114">
            <v>17484646.68</v>
          </cell>
          <cell r="N114">
            <v>210900.43</v>
          </cell>
          <cell r="O114">
            <v>0</v>
          </cell>
          <cell r="P114">
            <v>17273746.25</v>
          </cell>
          <cell r="Q114">
            <v>17273746.25</v>
          </cell>
          <cell r="R114">
            <v>2205793.1500000004</v>
          </cell>
        </row>
        <row r="115">
          <cell r="E115">
            <v>101</v>
          </cell>
          <cell r="F115" t="str">
            <v>Activos intangibles</v>
          </cell>
          <cell r="G115">
            <v>0</v>
          </cell>
          <cell r="H115">
            <v>10207552.24</v>
          </cell>
          <cell r="I115">
            <v>0</v>
          </cell>
          <cell r="J115">
            <v>12066337.300000001</v>
          </cell>
          <cell r="K115">
            <v>0</v>
          </cell>
          <cell r="L115">
            <v>22273889.539999999</v>
          </cell>
          <cell r="M115">
            <v>98876.56</v>
          </cell>
          <cell r="N115">
            <v>16920512.600000001</v>
          </cell>
          <cell r="O115">
            <v>0</v>
          </cell>
          <cell r="P115">
            <v>-16821636.040000003</v>
          </cell>
          <cell r="Q115">
            <v>-16821636.040000003</v>
          </cell>
          <cell r="R115">
            <v>-4755298.7400000021</v>
          </cell>
        </row>
        <row r="116">
          <cell r="E116">
            <v>11</v>
          </cell>
          <cell r="F116" t="str">
            <v>Otros activos a asignar a largo plazo</v>
          </cell>
          <cell r="G116">
            <v>7063846699.3699999</v>
          </cell>
          <cell r="H116">
            <v>0</v>
          </cell>
          <cell r="I116">
            <v>8350166119.4799995</v>
          </cell>
          <cell r="J116">
            <v>0</v>
          </cell>
          <cell r="K116">
            <v>15414012818.849998</v>
          </cell>
          <cell r="L116">
            <v>0</v>
          </cell>
          <cell r="M116">
            <v>479750643.95999998</v>
          </cell>
          <cell r="N116">
            <v>183836856.33000001</v>
          </cell>
          <cell r="O116">
            <v>0</v>
          </cell>
          <cell r="P116">
            <v>295913787.63</v>
          </cell>
          <cell r="Q116">
            <v>295913787.63</v>
          </cell>
          <cell r="R116">
            <v>-8054252331.8499994</v>
          </cell>
        </row>
        <row r="117">
          <cell r="E117">
            <v>12</v>
          </cell>
          <cell r="F117" t="str">
            <v>Cuentas comerciales a pagar</v>
          </cell>
          <cell r="G117">
            <v>0</v>
          </cell>
          <cell r="H117">
            <v>260389818.56999999</v>
          </cell>
          <cell r="I117">
            <v>0</v>
          </cell>
          <cell r="J117">
            <v>307806544.13999999</v>
          </cell>
          <cell r="K117">
            <v>0</v>
          </cell>
          <cell r="L117">
            <v>568196362.71000004</v>
          </cell>
          <cell r="M117">
            <v>1258969313.96</v>
          </cell>
          <cell r="N117">
            <v>1425471727.96</v>
          </cell>
          <cell r="O117">
            <v>0</v>
          </cell>
          <cell r="P117">
            <v>-166502414</v>
          </cell>
          <cell r="Q117">
            <v>-166502414</v>
          </cell>
          <cell r="R117">
            <v>141304130.13999999</v>
          </cell>
        </row>
        <row r="118">
          <cell r="E118">
            <v>12</v>
          </cell>
          <cell r="F118" t="str">
            <v>Contratistas</v>
          </cell>
          <cell r="G118">
            <v>0</v>
          </cell>
          <cell r="H118">
            <v>10205588.16</v>
          </cell>
          <cell r="I118">
            <v>0</v>
          </cell>
          <cell r="J118">
            <v>12064015.560000001</v>
          </cell>
          <cell r="K118">
            <v>0</v>
          </cell>
          <cell r="L118">
            <v>22269603.719999999</v>
          </cell>
          <cell r="M118">
            <v>24247056.66</v>
          </cell>
          <cell r="N118">
            <v>36718337.829999998</v>
          </cell>
          <cell r="O118">
            <v>0</v>
          </cell>
          <cell r="P118">
            <v>-12471281.169999998</v>
          </cell>
          <cell r="Q118">
            <v>-12471281.169999998</v>
          </cell>
          <cell r="R118">
            <v>-407265.60999999754</v>
          </cell>
        </row>
        <row r="119">
          <cell r="E119">
            <v>12</v>
          </cell>
          <cell r="F119" t="str">
            <v>Sueldos y salarios a pagar</v>
          </cell>
          <cell r="G119">
            <v>0</v>
          </cell>
          <cell r="H119">
            <v>396187137.16000003</v>
          </cell>
          <cell r="I119">
            <v>0</v>
          </cell>
          <cell r="J119">
            <v>468332418.64999998</v>
          </cell>
          <cell r="K119">
            <v>0</v>
          </cell>
          <cell r="L119">
            <v>864519555.80999994</v>
          </cell>
          <cell r="M119">
            <v>4336557377.2600002</v>
          </cell>
          <cell r="N119">
            <v>4307549412.7399998</v>
          </cell>
          <cell r="O119">
            <v>0</v>
          </cell>
          <cell r="P119">
            <v>29007964.520000458</v>
          </cell>
          <cell r="Q119">
            <v>29007964.520000458</v>
          </cell>
          <cell r="R119">
            <v>497340383.17000043</v>
          </cell>
        </row>
        <row r="120">
          <cell r="E120">
            <v>12</v>
          </cell>
          <cell r="F120" t="str">
            <v>Contribuciones patronales a pagar</v>
          </cell>
          <cell r="G120">
            <v>0</v>
          </cell>
          <cell r="H120">
            <v>115553701.36</v>
          </cell>
          <cell r="I120">
            <v>0</v>
          </cell>
          <cell r="J120">
            <v>136595914.81999999</v>
          </cell>
          <cell r="K120">
            <v>0</v>
          </cell>
          <cell r="L120">
            <v>252149616.18000001</v>
          </cell>
          <cell r="M120">
            <v>697864138.38</v>
          </cell>
          <cell r="N120">
            <v>666063931.81000006</v>
          </cell>
          <cell r="O120">
            <v>0</v>
          </cell>
          <cell r="P120">
            <v>31800206.569999933</v>
          </cell>
          <cell r="Q120">
            <v>31800206.569999933</v>
          </cell>
          <cell r="R120">
            <v>168396121.38999993</v>
          </cell>
        </row>
        <row r="121">
          <cell r="E121">
            <v>12</v>
          </cell>
          <cell r="F121" t="str">
            <v>Prestaciones sociales a pagar</v>
          </cell>
          <cell r="G121">
            <v>0</v>
          </cell>
          <cell r="H121">
            <v>6566959.75</v>
          </cell>
          <cell r="I121">
            <v>0</v>
          </cell>
          <cell r="J121">
            <v>7762796.5499999998</v>
          </cell>
          <cell r="K121">
            <v>0</v>
          </cell>
          <cell r="L121">
            <v>14329756.300000001</v>
          </cell>
          <cell r="M121">
            <v>114534520.92</v>
          </cell>
          <cell r="N121">
            <v>117193441.94999999</v>
          </cell>
          <cell r="O121">
            <v>0</v>
          </cell>
          <cell r="P121">
            <v>-2658921.0299999863</v>
          </cell>
          <cell r="Q121">
            <v>-2658921.0299999863</v>
          </cell>
          <cell r="R121">
            <v>5103875.5200000135</v>
          </cell>
        </row>
        <row r="122">
          <cell r="E122">
            <v>12</v>
          </cell>
          <cell r="F122" t="str">
            <v>Beneficios y compensaciones a pagar</v>
          </cell>
          <cell r="G122">
            <v>0</v>
          </cell>
          <cell r="H122">
            <v>31676965.300000001</v>
          </cell>
          <cell r="I122">
            <v>0</v>
          </cell>
          <cell r="J122">
            <v>37445309</v>
          </cell>
          <cell r="K122">
            <v>0</v>
          </cell>
          <cell r="L122">
            <v>69122274.299999997</v>
          </cell>
          <cell r="M122">
            <v>121295699.22999999</v>
          </cell>
          <cell r="N122">
            <v>115273701.23</v>
          </cell>
          <cell r="O122">
            <v>0</v>
          </cell>
          <cell r="P122">
            <v>6021997.9999999851</v>
          </cell>
          <cell r="Q122">
            <v>6021997.9999999851</v>
          </cell>
          <cell r="R122">
            <v>43467306.999999985</v>
          </cell>
        </row>
        <row r="123">
          <cell r="E123">
            <v>12</v>
          </cell>
          <cell r="F123" t="str">
            <v>Retenciones de impuestos a pagar DGI</v>
          </cell>
          <cell r="G123">
            <v>0</v>
          </cell>
          <cell r="H123">
            <v>154457.84</v>
          </cell>
          <cell r="I123">
            <v>0</v>
          </cell>
          <cell r="J123">
            <v>182584.46</v>
          </cell>
          <cell r="K123">
            <v>0</v>
          </cell>
          <cell r="L123">
            <v>337042.3</v>
          </cell>
          <cell r="M123">
            <v>43268260.490000002</v>
          </cell>
          <cell r="N123">
            <v>45475212.950000003</v>
          </cell>
          <cell r="O123">
            <v>0</v>
          </cell>
          <cell r="P123">
            <v>-2206952.4600000009</v>
          </cell>
          <cell r="Q123">
            <v>-2206952.4600000009</v>
          </cell>
          <cell r="R123">
            <v>-2024368.0000000009</v>
          </cell>
        </row>
        <row r="124">
          <cell r="E124">
            <v>12</v>
          </cell>
          <cell r="F124" t="str">
            <v>Multas contratistas/proveedores</v>
          </cell>
          <cell r="G124">
            <v>0</v>
          </cell>
          <cell r="H124">
            <v>3630686.05</v>
          </cell>
          <cell r="I124">
            <v>0</v>
          </cell>
          <cell r="J124">
            <v>4291830.3499999996</v>
          </cell>
          <cell r="K124">
            <v>0</v>
          </cell>
          <cell r="L124">
            <v>7922516.3999999994</v>
          </cell>
          <cell r="M124">
            <v>3941.39</v>
          </cell>
          <cell r="N124">
            <v>2757219.61</v>
          </cell>
          <cell r="O124">
            <v>0</v>
          </cell>
          <cell r="P124">
            <v>-2753278.2199999997</v>
          </cell>
          <cell r="Q124">
            <v>-2753278.2199999997</v>
          </cell>
          <cell r="R124">
            <v>1538552.13</v>
          </cell>
        </row>
        <row r="125">
          <cell r="E125">
            <v>12</v>
          </cell>
          <cell r="F125" t="str">
            <v>Retenciones a pagar al sistema de Seguridad Social</v>
          </cell>
          <cell r="G125">
            <v>0</v>
          </cell>
          <cell r="H125">
            <v>8099.45</v>
          </cell>
          <cell r="I125">
            <v>0</v>
          </cell>
          <cell r="J125">
            <v>9574.35</v>
          </cell>
          <cell r="K125">
            <v>0</v>
          </cell>
          <cell r="L125">
            <v>17673.8</v>
          </cell>
          <cell r="M125">
            <v>99757.16</v>
          </cell>
          <cell r="N125">
            <v>103317.57</v>
          </cell>
          <cell r="O125">
            <v>0</v>
          </cell>
          <cell r="P125">
            <v>-3560.4100000000035</v>
          </cell>
          <cell r="Q125">
            <v>-3560.4100000000035</v>
          </cell>
          <cell r="R125">
            <v>6013.9399999999969</v>
          </cell>
        </row>
        <row r="126">
          <cell r="E126">
            <v>12</v>
          </cell>
          <cell r="F126" t="str">
            <v>Retenciones de impuestos provinciales a pagar</v>
          </cell>
          <cell r="G126">
            <v>0</v>
          </cell>
          <cell r="H126">
            <v>90.17</v>
          </cell>
          <cell r="I126">
            <v>0</v>
          </cell>
          <cell r="J126">
            <v>106.59</v>
          </cell>
          <cell r="K126">
            <v>0</v>
          </cell>
          <cell r="L126">
            <v>196.76</v>
          </cell>
          <cell r="M126">
            <v>9145.1</v>
          </cell>
          <cell r="N126">
            <v>10861.22</v>
          </cell>
          <cell r="O126">
            <v>0</v>
          </cell>
          <cell r="P126">
            <v>-1716.119999999999</v>
          </cell>
          <cell r="Q126">
            <v>-1716.119999999999</v>
          </cell>
          <cell r="R126">
            <v>-1609.5299999999991</v>
          </cell>
        </row>
        <row r="127">
          <cell r="E127">
            <v>12</v>
          </cell>
          <cell r="F127" t="str">
            <v>Otras retenciones</v>
          </cell>
          <cell r="G127">
            <v>0</v>
          </cell>
          <cell r="H127">
            <v>986852.6</v>
          </cell>
          <cell r="I127">
            <v>0</v>
          </cell>
          <cell r="J127">
            <v>1166557.47</v>
          </cell>
          <cell r="K127">
            <v>0</v>
          </cell>
          <cell r="L127">
            <v>2153410.0699999998</v>
          </cell>
          <cell r="M127">
            <v>737227540.73000002</v>
          </cell>
          <cell r="N127">
            <v>737113038</v>
          </cell>
          <cell r="O127">
            <v>0</v>
          </cell>
          <cell r="P127">
            <v>114502.73000001907</v>
          </cell>
          <cell r="Q127">
            <v>114502.73000001907</v>
          </cell>
          <cell r="R127">
            <v>1281060.200000019</v>
          </cell>
        </row>
        <row r="128">
          <cell r="E128">
            <v>12</v>
          </cell>
          <cell r="F128" t="str">
            <v>Prestaciones de la seguridad social a pagar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</row>
        <row r="129">
          <cell r="E129">
            <v>12</v>
          </cell>
          <cell r="F129" t="str">
            <v>Impuestos a pagar</v>
          </cell>
          <cell r="G129">
            <v>0</v>
          </cell>
          <cell r="H129">
            <v>39411779.640000001</v>
          </cell>
          <cell r="I129">
            <v>0</v>
          </cell>
          <cell r="J129">
            <v>46588625.299999997</v>
          </cell>
          <cell r="K129">
            <v>0</v>
          </cell>
          <cell r="L129">
            <v>86000404.939999998</v>
          </cell>
          <cell r="M129">
            <v>14982810.219999999</v>
          </cell>
          <cell r="N129">
            <v>4313803.3099999996</v>
          </cell>
          <cell r="O129">
            <v>0</v>
          </cell>
          <cell r="P129">
            <v>10669006.91</v>
          </cell>
          <cell r="Q129">
            <v>10669006.91</v>
          </cell>
          <cell r="R129">
            <v>57257632.209999993</v>
          </cell>
        </row>
        <row r="130">
          <cell r="E130">
            <v>12</v>
          </cell>
          <cell r="F130" t="str">
            <v>Intereses a pagar</v>
          </cell>
          <cell r="G130">
            <v>0</v>
          </cell>
          <cell r="H130">
            <v>143144349.15000001</v>
          </cell>
          <cell r="I130">
            <v>0</v>
          </cell>
          <cell r="J130">
            <v>169210791.99000001</v>
          </cell>
          <cell r="K130">
            <v>0</v>
          </cell>
          <cell r="L130">
            <v>312355141.13999999</v>
          </cell>
          <cell r="M130">
            <v>5435148993.1900005</v>
          </cell>
          <cell r="N130">
            <v>5328009422.1400013</v>
          </cell>
          <cell r="O130">
            <v>0</v>
          </cell>
          <cell r="P130">
            <v>107139571.04999924</v>
          </cell>
          <cell r="Q130">
            <v>107139571.04999924</v>
          </cell>
          <cell r="R130">
            <v>276350363.03999925</v>
          </cell>
        </row>
        <row r="131">
          <cell r="E131">
            <v>12</v>
          </cell>
          <cell r="F131" t="str">
            <v>Transferencias a pagar</v>
          </cell>
          <cell r="G131">
            <v>0</v>
          </cell>
          <cell r="H131">
            <v>1140176920.3900001</v>
          </cell>
          <cell r="I131">
            <v>0</v>
          </cell>
          <cell r="J131">
            <v>1347801997.4200001</v>
          </cell>
          <cell r="K131">
            <v>0</v>
          </cell>
          <cell r="L131">
            <v>2487978917.8100004</v>
          </cell>
          <cell r="M131">
            <v>6755282177.71</v>
          </cell>
          <cell r="N131">
            <v>6936773349.7799997</v>
          </cell>
          <cell r="O131">
            <v>0</v>
          </cell>
          <cell r="P131">
            <v>-181491172.06999969</v>
          </cell>
          <cell r="Q131">
            <v>-181491172.06999969</v>
          </cell>
          <cell r="R131">
            <v>1166310825.3500004</v>
          </cell>
        </row>
        <row r="132">
          <cell r="E132">
            <v>12</v>
          </cell>
          <cell r="F132" t="str">
            <v>Acciones y aportes de capital a pagar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14000000</v>
          </cell>
          <cell r="N132">
            <v>24000000</v>
          </cell>
          <cell r="O132">
            <v>0</v>
          </cell>
          <cell r="P132">
            <v>-10000000</v>
          </cell>
          <cell r="Q132">
            <v>-10000000</v>
          </cell>
          <cell r="R132">
            <v>-10000000</v>
          </cell>
        </row>
        <row r="133">
          <cell r="E133">
            <v>12</v>
          </cell>
          <cell r="F133" t="str">
            <v>Prestamos otorgados a pagar</v>
          </cell>
          <cell r="G133">
            <v>0</v>
          </cell>
          <cell r="H133">
            <v>2033212</v>
          </cell>
          <cell r="I133">
            <v>0</v>
          </cell>
          <cell r="J133">
            <v>2403457.87</v>
          </cell>
          <cell r="K133">
            <v>0</v>
          </cell>
          <cell r="L133">
            <v>4436669.87</v>
          </cell>
          <cell r="M133">
            <v>24421855.199999999</v>
          </cell>
          <cell r="N133">
            <v>25664982</v>
          </cell>
          <cell r="O133">
            <v>0</v>
          </cell>
          <cell r="P133">
            <v>-1243126.8000000007</v>
          </cell>
          <cell r="Q133">
            <v>-1243126.8000000007</v>
          </cell>
          <cell r="R133">
            <v>1160331.0699999994</v>
          </cell>
        </row>
        <row r="134">
          <cell r="E134">
            <v>12</v>
          </cell>
          <cell r="F134" t="str">
            <v>Títulos y valores a pagar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2630085037.9499998</v>
          </cell>
          <cell r="N134">
            <v>2630085037.9499998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</row>
        <row r="135">
          <cell r="E135">
            <v>12</v>
          </cell>
          <cell r="F135" t="str">
            <v>Amortización deuda interna vencida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3735504794.6599998</v>
          </cell>
          <cell r="N135">
            <v>3735504794.6599998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E136">
            <v>12</v>
          </cell>
          <cell r="F136" t="str">
            <v>Amortización deuda externa vencida</v>
          </cell>
          <cell r="G136">
            <v>0</v>
          </cell>
          <cell r="H136">
            <v>6419213.8200000003</v>
          </cell>
          <cell r="I136">
            <v>0</v>
          </cell>
          <cell r="J136">
            <v>7588146.2400000002</v>
          </cell>
          <cell r="K136">
            <v>0</v>
          </cell>
          <cell r="L136">
            <v>14007360.060000001</v>
          </cell>
          <cell r="M136">
            <v>945483056</v>
          </cell>
          <cell r="N136">
            <v>941552614.63999999</v>
          </cell>
          <cell r="O136">
            <v>0</v>
          </cell>
          <cell r="P136">
            <v>3930441.3600000143</v>
          </cell>
          <cell r="Q136">
            <v>3930441.3600000143</v>
          </cell>
          <cell r="R136">
            <v>11518587.600000015</v>
          </cell>
        </row>
        <row r="137">
          <cell r="E137">
            <v>12</v>
          </cell>
          <cell r="F137" t="str">
            <v>Amortización prestamos internos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E138">
            <v>12</v>
          </cell>
          <cell r="F138" t="str">
            <v>Amortización prestamos externos</v>
          </cell>
          <cell r="G138">
            <v>0</v>
          </cell>
          <cell r="H138">
            <v>94938711.700000003</v>
          </cell>
          <cell r="I138">
            <v>0</v>
          </cell>
          <cell r="J138">
            <v>112226956.16</v>
          </cell>
          <cell r="K138">
            <v>0</v>
          </cell>
          <cell r="L138">
            <v>207165667.86000001</v>
          </cell>
          <cell r="M138">
            <v>8517822112.1700001</v>
          </cell>
          <cell r="N138">
            <v>10807917620.380001</v>
          </cell>
          <cell r="O138">
            <v>0</v>
          </cell>
          <cell r="P138">
            <v>-2290095508.210001</v>
          </cell>
          <cell r="Q138">
            <v>-2290095508.210001</v>
          </cell>
          <cell r="R138">
            <v>-2177868552.0500011</v>
          </cell>
        </row>
        <row r="139">
          <cell r="E139">
            <v>12</v>
          </cell>
          <cell r="F139" t="str">
            <v>Otras cuentas</v>
          </cell>
          <cell r="G139">
            <v>0</v>
          </cell>
          <cell r="H139">
            <v>515385242.41000003</v>
          </cell>
          <cell r="I139">
            <v>0</v>
          </cell>
          <cell r="J139">
            <v>609236379.66999996</v>
          </cell>
          <cell r="K139">
            <v>0</v>
          </cell>
          <cell r="L139">
            <v>1124621622.0799999</v>
          </cell>
          <cell r="M139">
            <v>16395679254.58</v>
          </cell>
          <cell r="N139">
            <v>16516504431.25</v>
          </cell>
          <cell r="O139">
            <v>0</v>
          </cell>
          <cell r="P139">
            <v>-120825176.67000008</v>
          </cell>
          <cell r="Q139">
            <v>-120825176.67000008</v>
          </cell>
          <cell r="R139">
            <v>488411202.99999988</v>
          </cell>
        </row>
        <row r="140">
          <cell r="E140">
            <v>12</v>
          </cell>
          <cell r="F140" t="str">
            <v>Documentos a pagar</v>
          </cell>
          <cell r="G140">
            <v>0</v>
          </cell>
          <cell r="H140">
            <v>1134950000</v>
          </cell>
          <cell r="I140">
            <v>0</v>
          </cell>
          <cell r="J140">
            <v>1341623260.05</v>
          </cell>
          <cell r="K140">
            <v>0</v>
          </cell>
          <cell r="L140">
            <v>2476573260.0500002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1341623260.05</v>
          </cell>
        </row>
        <row r="141">
          <cell r="E141">
            <v>12</v>
          </cell>
          <cell r="F141" t="str">
            <v>Prestamos a pagar</v>
          </cell>
          <cell r="G141">
            <v>0</v>
          </cell>
          <cell r="H141">
            <v>1615500000</v>
          </cell>
          <cell r="I141">
            <v>0</v>
          </cell>
          <cell r="J141">
            <v>1909680934.5</v>
          </cell>
          <cell r="K141">
            <v>0</v>
          </cell>
          <cell r="L141">
            <v>3525180934.5</v>
          </cell>
          <cell r="M141">
            <v>23600563876.73</v>
          </cell>
          <cell r="N141">
            <v>23758079791.27</v>
          </cell>
          <cell r="O141">
            <v>0</v>
          </cell>
          <cell r="P141">
            <v>-157515914.54000092</v>
          </cell>
          <cell r="Q141">
            <v>-157515914.54000092</v>
          </cell>
          <cell r="R141">
            <v>1752165019.9599991</v>
          </cell>
        </row>
        <row r="142">
          <cell r="E142">
            <v>12</v>
          </cell>
          <cell r="F142" t="str">
            <v>Letras de tesorería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4351629757.3699999</v>
          </cell>
          <cell r="N142">
            <v>5422478736.3699999</v>
          </cell>
          <cell r="O142">
            <v>0</v>
          </cell>
          <cell r="P142">
            <v>-1070848979</v>
          </cell>
          <cell r="Q142">
            <v>-1070848979</v>
          </cell>
          <cell r="R142">
            <v>-1070848979</v>
          </cell>
        </row>
        <row r="143">
          <cell r="E143">
            <v>12</v>
          </cell>
          <cell r="F143" t="str">
            <v>Impuestos directos a coparticipar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</row>
        <row r="144">
          <cell r="E144">
            <v>12</v>
          </cell>
          <cell r="F144" t="str">
            <v>Impuestos indirectos a coparticipar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</row>
        <row r="145">
          <cell r="E145">
            <v>12</v>
          </cell>
          <cell r="F145" t="str">
            <v>Porción corriente de deudas comerciales</v>
          </cell>
          <cell r="G145">
            <v>0</v>
          </cell>
          <cell r="H145">
            <v>128112440.91</v>
          </cell>
          <cell r="I145">
            <v>0</v>
          </cell>
          <cell r="J145">
            <v>151441588.28999999</v>
          </cell>
          <cell r="K145">
            <v>0</v>
          </cell>
          <cell r="L145">
            <v>279554029.19999999</v>
          </cell>
          <cell r="M145">
            <v>25898030</v>
          </cell>
          <cell r="N145">
            <v>25898030</v>
          </cell>
          <cell r="O145">
            <v>0</v>
          </cell>
          <cell r="P145">
            <v>0</v>
          </cell>
          <cell r="Q145">
            <v>0</v>
          </cell>
          <cell r="R145">
            <v>151441588.28999999</v>
          </cell>
        </row>
        <row r="146">
          <cell r="E146">
            <v>12</v>
          </cell>
          <cell r="F146" t="str">
            <v>Porción corriente de otras deudas</v>
          </cell>
          <cell r="G146">
            <v>0</v>
          </cell>
          <cell r="H146">
            <v>35888004.100000001</v>
          </cell>
          <cell r="I146">
            <v>0</v>
          </cell>
          <cell r="J146">
            <v>42423173.759999998</v>
          </cell>
          <cell r="K146">
            <v>0</v>
          </cell>
          <cell r="L146">
            <v>78311177.859999999</v>
          </cell>
          <cell r="M146">
            <v>717810694.70000005</v>
          </cell>
          <cell r="N146">
            <v>685020841.70000005</v>
          </cell>
          <cell r="O146">
            <v>0</v>
          </cell>
          <cell r="P146">
            <v>32789853</v>
          </cell>
          <cell r="Q146">
            <v>32789853</v>
          </cell>
          <cell r="R146">
            <v>75213026.75999999</v>
          </cell>
        </row>
        <row r="147">
          <cell r="E147">
            <v>12</v>
          </cell>
          <cell r="F147" t="str">
            <v>Porción corriente de la deuda documentada a largo plazo</v>
          </cell>
          <cell r="G147">
            <v>0</v>
          </cell>
          <cell r="H147">
            <v>21568890</v>
          </cell>
          <cell r="I147">
            <v>0</v>
          </cell>
          <cell r="J147">
            <v>25496563.300000001</v>
          </cell>
          <cell r="K147">
            <v>0</v>
          </cell>
          <cell r="L147">
            <v>47065453.299999997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25496563.300000001</v>
          </cell>
        </row>
        <row r="148">
          <cell r="E148">
            <v>12</v>
          </cell>
          <cell r="F148" t="str">
            <v>Porcion corriente de la deuda pública interna</v>
          </cell>
          <cell r="G148">
            <v>0</v>
          </cell>
          <cell r="H148">
            <v>1894062572.3900001</v>
          </cell>
          <cell r="I148">
            <v>0</v>
          </cell>
          <cell r="J148">
            <v>2238969472.7600002</v>
          </cell>
          <cell r="K148">
            <v>0</v>
          </cell>
          <cell r="L148">
            <v>4133032045.1500006</v>
          </cell>
          <cell r="M148">
            <v>10438707926.400002</v>
          </cell>
          <cell r="N148">
            <v>9763645354.0100002</v>
          </cell>
          <cell r="O148">
            <v>0</v>
          </cell>
          <cell r="P148">
            <v>675062572.3900013</v>
          </cell>
          <cell r="Q148">
            <v>675062572.3900013</v>
          </cell>
          <cell r="R148">
            <v>2914032045.1500015</v>
          </cell>
        </row>
        <row r="149">
          <cell r="E149">
            <v>12</v>
          </cell>
          <cell r="F149" t="str">
            <v>Porcion corriente de la deuda pública externa</v>
          </cell>
          <cell r="G149">
            <v>0</v>
          </cell>
          <cell r="H149">
            <v>12078735966.15</v>
          </cell>
          <cell r="I149">
            <v>0</v>
          </cell>
          <cell r="J149">
            <v>14278261706.85</v>
          </cell>
          <cell r="K149">
            <v>0</v>
          </cell>
          <cell r="L149">
            <v>26356997673</v>
          </cell>
          <cell r="M149">
            <v>35603267025.739998</v>
          </cell>
          <cell r="N149">
            <v>25431531059.590004</v>
          </cell>
          <cell r="O149">
            <v>0</v>
          </cell>
          <cell r="P149">
            <v>10171735966.149994</v>
          </cell>
          <cell r="Q149">
            <v>10171735966.149994</v>
          </cell>
          <cell r="R149">
            <v>24449997672.999992</v>
          </cell>
        </row>
        <row r="150">
          <cell r="E150">
            <v>12</v>
          </cell>
          <cell r="F150" t="str">
            <v>Porcion corriente de los préstamos internos a pagar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3667451525.6799998</v>
          </cell>
          <cell r="O150">
            <v>0</v>
          </cell>
          <cell r="P150">
            <v>-3667451525.6799998</v>
          </cell>
          <cell r="Q150">
            <v>-3667451525.6799998</v>
          </cell>
          <cell r="R150">
            <v>-3667451525.6799998</v>
          </cell>
        </row>
        <row r="151">
          <cell r="E151">
            <v>12</v>
          </cell>
          <cell r="F151" t="str">
            <v>Porcion corriente de los préstamos externos a pagar</v>
          </cell>
          <cell r="G151">
            <v>0</v>
          </cell>
          <cell r="H151">
            <v>8153118958.79</v>
          </cell>
          <cell r="I151">
            <v>0</v>
          </cell>
          <cell r="J151">
            <v>9637793768.0699997</v>
          </cell>
          <cell r="K151">
            <v>0</v>
          </cell>
          <cell r="L151">
            <v>17790912726.860001</v>
          </cell>
          <cell r="M151">
            <v>102834182505.22</v>
          </cell>
          <cell r="N151">
            <v>146762185342.47</v>
          </cell>
          <cell r="O151">
            <v>0</v>
          </cell>
          <cell r="P151">
            <v>-43928002837.25</v>
          </cell>
          <cell r="Q151">
            <v>-43928002837.25</v>
          </cell>
          <cell r="R151">
            <v>-34290209069.18</v>
          </cell>
        </row>
        <row r="152">
          <cell r="E152">
            <v>12</v>
          </cell>
          <cell r="F152" t="str">
            <v>Porción corriente de otros pasivos no corrientes</v>
          </cell>
          <cell r="G152">
            <v>0</v>
          </cell>
          <cell r="H152">
            <v>1969788748.9300001</v>
          </cell>
          <cell r="I152">
            <v>0</v>
          </cell>
          <cell r="J152">
            <v>2328485310.3200002</v>
          </cell>
          <cell r="K152">
            <v>0</v>
          </cell>
          <cell r="L152">
            <v>4298274059.25</v>
          </cell>
          <cell r="M152">
            <v>0</v>
          </cell>
          <cell r="N152">
            <v>4380790493.96</v>
          </cell>
          <cell r="O152">
            <v>0</v>
          </cell>
          <cell r="P152">
            <v>-4380790493.96</v>
          </cell>
          <cell r="Q152">
            <v>-4380790493.96</v>
          </cell>
          <cell r="R152">
            <v>-2052305183.6399999</v>
          </cell>
        </row>
        <row r="153">
          <cell r="E153">
            <v>14</v>
          </cell>
          <cell r="F153" t="str">
            <v>Otros anticipos</v>
          </cell>
          <cell r="G153">
            <v>0</v>
          </cell>
          <cell r="H153">
            <v>335144.71000000002</v>
          </cell>
          <cell r="I153">
            <v>0</v>
          </cell>
          <cell r="J153">
            <v>396174.23</v>
          </cell>
          <cell r="K153">
            <v>0</v>
          </cell>
          <cell r="L153">
            <v>731318.94</v>
          </cell>
          <cell r="M153">
            <v>236193.02</v>
          </cell>
          <cell r="N153">
            <v>0</v>
          </cell>
          <cell r="O153">
            <v>0</v>
          </cell>
          <cell r="P153">
            <v>236193.02</v>
          </cell>
          <cell r="Q153">
            <v>236193.02</v>
          </cell>
          <cell r="R153">
            <v>632367.25</v>
          </cell>
        </row>
        <row r="154">
          <cell r="F154" t="str">
            <v>Previsiones para autoseguro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F155" t="str">
            <v>Otras previsiones</v>
          </cell>
          <cell r="G155">
            <v>0</v>
          </cell>
          <cell r="H155">
            <v>896848655.95000005</v>
          </cell>
          <cell r="I155">
            <v>0</v>
          </cell>
          <cell r="J155">
            <v>1060163899.35</v>
          </cell>
          <cell r="K155">
            <v>0</v>
          </cell>
          <cell r="L155">
            <v>1957012555.3000002</v>
          </cell>
          <cell r="M155">
            <v>17.5</v>
          </cell>
          <cell r="N155">
            <v>3400000017.5</v>
          </cell>
          <cell r="O155">
            <v>0</v>
          </cell>
          <cell r="P155">
            <v>-3400000000</v>
          </cell>
          <cell r="Q155">
            <v>-3400000000</v>
          </cell>
          <cell r="R155">
            <v>-2339836100.6500001</v>
          </cell>
        </row>
        <row r="156">
          <cell r="E156">
            <v>13</v>
          </cell>
          <cell r="F156" t="str">
            <v>Fondos en Garantía</v>
          </cell>
          <cell r="G156">
            <v>0</v>
          </cell>
          <cell r="H156">
            <v>3124684.22</v>
          </cell>
          <cell r="I156">
            <v>0</v>
          </cell>
          <cell r="J156">
            <v>3693686.09</v>
          </cell>
          <cell r="K156">
            <v>0</v>
          </cell>
          <cell r="L156">
            <v>6818370.3100000005</v>
          </cell>
          <cell r="M156">
            <v>380346.68</v>
          </cell>
          <cell r="N156">
            <v>467196.24</v>
          </cell>
          <cell r="O156">
            <v>0</v>
          </cell>
          <cell r="P156">
            <v>-86849.56</v>
          </cell>
          <cell r="Q156">
            <v>-86849.56</v>
          </cell>
          <cell r="R156">
            <v>3606836.53</v>
          </cell>
        </row>
        <row r="157">
          <cell r="E157">
            <v>13</v>
          </cell>
          <cell r="F157" t="str">
            <v>Fondos de jerarquización A.N.A.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</row>
        <row r="158">
          <cell r="E158">
            <v>13</v>
          </cell>
          <cell r="F158" t="str">
            <v>INTA tasa de estadística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</row>
        <row r="159">
          <cell r="E159">
            <v>13</v>
          </cell>
          <cell r="F159" t="str">
            <v>Transferencias DGI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</row>
        <row r="160">
          <cell r="E160">
            <v>13</v>
          </cell>
          <cell r="F160" t="str">
            <v>Fondos de terceros en la C.U.T.</v>
          </cell>
          <cell r="G160">
            <v>0</v>
          </cell>
          <cell r="H160">
            <v>422539373.06</v>
          </cell>
          <cell r="I160">
            <v>0</v>
          </cell>
          <cell r="J160">
            <v>499483370.35000002</v>
          </cell>
          <cell r="K160">
            <v>0</v>
          </cell>
          <cell r="L160">
            <v>922022743.41000009</v>
          </cell>
          <cell r="M160">
            <v>1663736817.1400001</v>
          </cell>
          <cell r="N160">
            <v>1737512641.3399999</v>
          </cell>
          <cell r="O160">
            <v>0</v>
          </cell>
          <cell r="P160">
            <v>-73775824.199999809</v>
          </cell>
          <cell r="Q160">
            <v>-73775824.199999809</v>
          </cell>
          <cell r="R160">
            <v>425707546.15000021</v>
          </cell>
        </row>
        <row r="161">
          <cell r="E161">
            <v>13</v>
          </cell>
          <cell r="F161" t="str">
            <v>M R.R.E.E. - Tasa de Estadística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</row>
        <row r="162">
          <cell r="E162">
            <v>13</v>
          </cell>
          <cell r="F162" t="str">
            <v>Poder Judicial - 3.5%</v>
          </cell>
          <cell r="G162">
            <v>0</v>
          </cell>
          <cell r="H162">
            <v>153958.44</v>
          </cell>
          <cell r="I162">
            <v>0</v>
          </cell>
          <cell r="J162">
            <v>181994.12</v>
          </cell>
          <cell r="K162">
            <v>0</v>
          </cell>
          <cell r="L162">
            <v>335952.56</v>
          </cell>
          <cell r="M162">
            <v>223280724.25999999</v>
          </cell>
          <cell r="N162">
            <v>223227705.05000001</v>
          </cell>
          <cell r="O162">
            <v>0</v>
          </cell>
          <cell r="P162">
            <v>53019.209999978542</v>
          </cell>
          <cell r="Q162">
            <v>53019.209999978542</v>
          </cell>
          <cell r="R162">
            <v>235013.32999997854</v>
          </cell>
        </row>
        <row r="163">
          <cell r="E163">
            <v>13</v>
          </cell>
          <cell r="F163" t="str">
            <v>Otros fondos de terceros</v>
          </cell>
          <cell r="G163">
            <v>0</v>
          </cell>
          <cell r="H163">
            <v>98862049.150000006</v>
          </cell>
          <cell r="I163">
            <v>0</v>
          </cell>
          <cell r="J163">
            <v>116864729.44</v>
          </cell>
          <cell r="K163">
            <v>0</v>
          </cell>
          <cell r="L163">
            <v>215726778.59</v>
          </cell>
          <cell r="M163">
            <v>683840688.82000005</v>
          </cell>
          <cell r="N163">
            <v>732454244.71000004</v>
          </cell>
          <cell r="O163">
            <v>0</v>
          </cell>
          <cell r="P163">
            <v>-48613555.889999986</v>
          </cell>
          <cell r="Q163">
            <v>-48613555.889999986</v>
          </cell>
          <cell r="R163">
            <v>68251173.550000012</v>
          </cell>
        </row>
        <row r="164">
          <cell r="E164">
            <v>16</v>
          </cell>
          <cell r="F164" t="str">
            <v>Deudas por operaciones especiales</v>
          </cell>
          <cell r="G164">
            <v>0</v>
          </cell>
          <cell r="H164">
            <v>17552302.010000002</v>
          </cell>
          <cell r="I164">
            <v>0</v>
          </cell>
          <cell r="J164">
            <v>20748558.649999999</v>
          </cell>
          <cell r="K164">
            <v>0</v>
          </cell>
          <cell r="L164">
            <v>38300860.659999996</v>
          </cell>
          <cell r="M164">
            <v>0</v>
          </cell>
          <cell r="N164">
            <v>1381590988.24</v>
          </cell>
          <cell r="O164">
            <v>0</v>
          </cell>
          <cell r="P164">
            <v>-1381590988.24</v>
          </cell>
          <cell r="Q164">
            <v>-1381590988.24</v>
          </cell>
          <cell r="R164">
            <v>-1360842429.5899999</v>
          </cell>
        </row>
        <row r="165">
          <cell r="E165">
            <v>16</v>
          </cell>
          <cell r="F165" t="str">
            <v>DGI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E166">
            <v>16</v>
          </cell>
          <cell r="F166" t="str">
            <v>Aduana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E167">
            <v>16</v>
          </cell>
          <cell r="F167" t="str">
            <v>Otros</v>
          </cell>
          <cell r="G167">
            <v>0</v>
          </cell>
          <cell r="H167">
            <v>75896</v>
          </cell>
          <cell r="I167">
            <v>0</v>
          </cell>
          <cell r="J167">
            <v>89716.59</v>
          </cell>
          <cell r="K167">
            <v>0</v>
          </cell>
          <cell r="L167">
            <v>165612.59</v>
          </cell>
          <cell r="M167">
            <v>1199752974.5599999</v>
          </cell>
          <cell r="N167">
            <v>1255677140.47</v>
          </cell>
          <cell r="O167">
            <v>0</v>
          </cell>
          <cell r="P167">
            <v>-55924165.910000086</v>
          </cell>
          <cell r="Q167">
            <v>-55924165.910000086</v>
          </cell>
          <cell r="R167">
            <v>-55834449.320000082</v>
          </cell>
        </row>
        <row r="168">
          <cell r="E168">
            <v>16</v>
          </cell>
          <cell r="F168" t="str">
            <v>Otros pasivos a asignar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</row>
        <row r="169">
          <cell r="E169">
            <v>17</v>
          </cell>
          <cell r="F169" t="str">
            <v>Cuentas comerciales a pagar a largo plazo</v>
          </cell>
          <cell r="G169">
            <v>0</v>
          </cell>
          <cell r="H169">
            <v>30630863.420000002</v>
          </cell>
          <cell r="I169">
            <v>0</v>
          </cell>
          <cell r="J169">
            <v>36208713.020000003</v>
          </cell>
          <cell r="K169">
            <v>0</v>
          </cell>
          <cell r="L169">
            <v>66839576.440000005</v>
          </cell>
          <cell r="M169">
            <v>556069460.53999996</v>
          </cell>
          <cell r="N169">
            <v>556069460.53999996</v>
          </cell>
          <cell r="O169">
            <v>0</v>
          </cell>
          <cell r="P169">
            <v>0</v>
          </cell>
          <cell r="Q169">
            <v>0</v>
          </cell>
          <cell r="R169">
            <v>36208713.020000003</v>
          </cell>
        </row>
        <row r="170">
          <cell r="E170">
            <v>17</v>
          </cell>
          <cell r="F170" t="str">
            <v>Deudas con provincias a largo plazo</v>
          </cell>
          <cell r="G170">
            <v>0</v>
          </cell>
          <cell r="H170">
            <v>155311343.59</v>
          </cell>
          <cell r="I170">
            <v>0</v>
          </cell>
          <cell r="J170">
            <v>183593383.94999999</v>
          </cell>
          <cell r="K170">
            <v>0</v>
          </cell>
          <cell r="L170">
            <v>338904727.53999996</v>
          </cell>
          <cell r="M170">
            <v>32567814.850000001</v>
          </cell>
          <cell r="N170">
            <v>32789845</v>
          </cell>
          <cell r="O170">
            <v>0</v>
          </cell>
          <cell r="P170">
            <v>-222030.14999999851</v>
          </cell>
          <cell r="Q170">
            <v>-222030.14999999851</v>
          </cell>
          <cell r="R170">
            <v>183371353.79999998</v>
          </cell>
        </row>
        <row r="171">
          <cell r="E171">
            <v>17</v>
          </cell>
          <cell r="F171" t="str">
            <v>Otras deudas a pagar a largo plazo</v>
          </cell>
          <cell r="G171">
            <v>0</v>
          </cell>
          <cell r="H171">
            <v>1493442730.4400001</v>
          </cell>
          <cell r="I171">
            <v>0</v>
          </cell>
          <cell r="J171">
            <v>1765397158.21</v>
          </cell>
          <cell r="K171">
            <v>0</v>
          </cell>
          <cell r="L171">
            <v>3258839888.6500001</v>
          </cell>
          <cell r="M171">
            <v>127352046.15000001</v>
          </cell>
          <cell r="N171">
            <v>1453066952.3399999</v>
          </cell>
          <cell r="O171">
            <v>0</v>
          </cell>
          <cell r="P171">
            <v>-1325714906.1899998</v>
          </cell>
          <cell r="Q171">
            <v>-1325714906.1899998</v>
          </cell>
          <cell r="R171">
            <v>439682252.02000022</v>
          </cell>
        </row>
        <row r="172">
          <cell r="E172">
            <v>17</v>
          </cell>
          <cell r="F172" t="str">
            <v>Documentos a pagar a largo plazo</v>
          </cell>
          <cell r="G172">
            <v>0</v>
          </cell>
          <cell r="H172">
            <v>29247331.5</v>
          </cell>
          <cell r="I172">
            <v>0</v>
          </cell>
          <cell r="J172">
            <v>34573241.32</v>
          </cell>
          <cell r="K172">
            <v>0</v>
          </cell>
          <cell r="L172">
            <v>63820572.82</v>
          </cell>
          <cell r="M172">
            <v>923657215.80999994</v>
          </cell>
          <cell r="N172">
            <v>1886720237.4400001</v>
          </cell>
          <cell r="O172">
            <v>0</v>
          </cell>
          <cell r="P172">
            <v>-963063021.63000011</v>
          </cell>
          <cell r="Q172">
            <v>-963063021.63000011</v>
          </cell>
          <cell r="R172">
            <v>-928489780.31000006</v>
          </cell>
        </row>
        <row r="173">
          <cell r="E173">
            <v>17</v>
          </cell>
          <cell r="F173" t="str">
            <v>Deuda publica interna</v>
          </cell>
          <cell r="G173">
            <v>0</v>
          </cell>
          <cell r="H173">
            <v>1105140399.6199999</v>
          </cell>
          <cell r="I173">
            <v>0</v>
          </cell>
          <cell r="J173">
            <v>1306385361.25</v>
          </cell>
          <cell r="K173">
            <v>0</v>
          </cell>
          <cell r="L173">
            <v>2411525760.8699999</v>
          </cell>
          <cell r="M173">
            <v>27269591442.57</v>
          </cell>
          <cell r="N173">
            <v>74831500575.919998</v>
          </cell>
          <cell r="O173">
            <v>0</v>
          </cell>
          <cell r="P173">
            <v>-47561909133.349998</v>
          </cell>
          <cell r="Q173">
            <v>-47561909133.349998</v>
          </cell>
          <cell r="R173">
            <v>-46255523772.099998</v>
          </cell>
        </row>
        <row r="174">
          <cell r="E174">
            <v>17</v>
          </cell>
          <cell r="F174" t="str">
            <v>Deuda publica externa</v>
          </cell>
          <cell r="G174">
            <v>0</v>
          </cell>
          <cell r="H174">
            <v>47808466494</v>
          </cell>
          <cell r="I174">
            <v>0</v>
          </cell>
          <cell r="J174">
            <v>56514340434.089996</v>
          </cell>
          <cell r="K174">
            <v>0</v>
          </cell>
          <cell r="L174">
            <v>104322806928.09</v>
          </cell>
          <cell r="M174">
            <v>57015513745.410004</v>
          </cell>
          <cell r="N174">
            <v>224352401824.04999</v>
          </cell>
          <cell r="O174">
            <v>0</v>
          </cell>
          <cell r="P174">
            <v>-167336888078.63998</v>
          </cell>
          <cell r="Q174">
            <v>-167336888078.63998</v>
          </cell>
          <cell r="R174">
            <v>-110822547644.54999</v>
          </cell>
        </row>
        <row r="175">
          <cell r="E175">
            <v>17</v>
          </cell>
          <cell r="F175" t="str">
            <v>Prestamos internos a pagar a largo plazo</v>
          </cell>
          <cell r="G175">
            <v>0</v>
          </cell>
          <cell r="H175">
            <v>197676167.71000001</v>
          </cell>
          <cell r="I175">
            <v>0</v>
          </cell>
          <cell r="J175">
            <v>233672800.16999999</v>
          </cell>
          <cell r="K175">
            <v>0</v>
          </cell>
          <cell r="L175">
            <v>431348967.88</v>
          </cell>
          <cell r="M175">
            <v>0</v>
          </cell>
          <cell r="N175">
            <v>1508500</v>
          </cell>
          <cell r="O175">
            <v>0</v>
          </cell>
          <cell r="P175">
            <v>-1508500</v>
          </cell>
          <cell r="Q175">
            <v>-1508500</v>
          </cell>
          <cell r="R175">
            <v>232164300.16999999</v>
          </cell>
        </row>
        <row r="176">
          <cell r="E176">
            <v>17</v>
          </cell>
          <cell r="F176" t="str">
            <v>Prestamos externos a pagar a largo plazo</v>
          </cell>
          <cell r="G176">
            <v>0</v>
          </cell>
          <cell r="H176">
            <v>68375228250.559998</v>
          </cell>
          <cell r="I176">
            <v>0</v>
          </cell>
          <cell r="J176">
            <v>80826288939.759995</v>
          </cell>
          <cell r="K176">
            <v>0</v>
          </cell>
          <cell r="L176">
            <v>149201517190.32001</v>
          </cell>
          <cell r="M176">
            <v>163523222287.24002</v>
          </cell>
          <cell r="N176">
            <v>226298063289.28</v>
          </cell>
          <cell r="O176">
            <v>0</v>
          </cell>
          <cell r="P176">
            <v>-62774841002.039978</v>
          </cell>
          <cell r="Q176">
            <v>-62774841002.039978</v>
          </cell>
          <cell r="R176">
            <v>18051447937.720016</v>
          </cell>
        </row>
        <row r="177">
          <cell r="E177">
            <v>18</v>
          </cell>
          <cell r="F177" t="str">
            <v>Dif. de Cambio por Fluctuación de la Moneda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</row>
        <row r="178">
          <cell r="E178">
            <v>18</v>
          </cell>
          <cell r="F178" t="str">
            <v>Rec. Tributarios a Distribuir por Pagares Moratoria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</row>
        <row r="179">
          <cell r="E179">
            <v>18</v>
          </cell>
          <cell r="F179" t="str">
            <v>Otros Pasivos Diferidos a largo plazo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3928875.07</v>
          </cell>
          <cell r="N179">
            <v>3928875.07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</row>
        <row r="180">
          <cell r="F180" t="str">
            <v>Previsiones para autoseguro a largo plazo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</row>
        <row r="181">
          <cell r="F181" t="str">
            <v>Reservas técnicas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</row>
        <row r="182">
          <cell r="F182" t="str">
            <v>Previsiones por juicios a largo plazo</v>
          </cell>
          <cell r="G182">
            <v>0</v>
          </cell>
          <cell r="H182">
            <v>1395373999.1600001</v>
          </cell>
          <cell r="I182">
            <v>0</v>
          </cell>
          <cell r="J182">
            <v>1649470209.03</v>
          </cell>
          <cell r="K182">
            <v>0</v>
          </cell>
          <cell r="L182">
            <v>3044844208.1900001</v>
          </cell>
          <cell r="M182">
            <v>394980484.94</v>
          </cell>
          <cell r="N182">
            <v>1156304084.4100001</v>
          </cell>
          <cell r="O182">
            <v>0</v>
          </cell>
          <cell r="P182">
            <v>-761323599.47000003</v>
          </cell>
          <cell r="Q182">
            <v>-761323599.47000003</v>
          </cell>
          <cell r="R182">
            <v>888146609.55999994</v>
          </cell>
        </row>
        <row r="183">
          <cell r="F183" t="str">
            <v>Otras previsiones a largo plazo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</row>
        <row r="184">
          <cell r="E184">
            <v>999</v>
          </cell>
          <cell r="F184" t="str">
            <v>Otros pasivos a asignar a largo plazo</v>
          </cell>
          <cell r="G184">
            <v>0</v>
          </cell>
          <cell r="H184">
            <v>2767169327.9099998</v>
          </cell>
          <cell r="I184">
            <v>0</v>
          </cell>
          <cell r="J184">
            <v>3271068095.3499999</v>
          </cell>
          <cell r="K184">
            <v>0</v>
          </cell>
          <cell r="L184">
            <v>6038237423.2600002</v>
          </cell>
          <cell r="M184">
            <v>0</v>
          </cell>
          <cell r="N184">
            <v>128441277.36</v>
          </cell>
          <cell r="O184">
            <v>0</v>
          </cell>
          <cell r="P184">
            <v>-128441277.36</v>
          </cell>
          <cell r="Q184">
            <v>-128441277.36</v>
          </cell>
          <cell r="R184">
            <v>3142626817.9899998</v>
          </cell>
        </row>
        <row r="185">
          <cell r="E185">
            <v>21</v>
          </cell>
          <cell r="F185" t="str">
            <v>Capital Fiscal</v>
          </cell>
          <cell r="G185">
            <v>0</v>
          </cell>
          <cell r="H185">
            <v>27252626181.84</v>
          </cell>
          <cell r="I185">
            <v>0</v>
          </cell>
          <cell r="J185">
            <v>32215302156.93</v>
          </cell>
          <cell r="K185">
            <v>0</v>
          </cell>
          <cell r="L185">
            <v>59467928338.770004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32215302156.93</v>
          </cell>
        </row>
        <row r="186">
          <cell r="E186">
            <v>21</v>
          </cell>
          <cell r="F186" t="str">
            <v>Ajuste de Capital Fiscal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32215302156.93</v>
          </cell>
          <cell r="O186">
            <v>0</v>
          </cell>
          <cell r="P186">
            <v>-32215302156.93</v>
          </cell>
          <cell r="Q186">
            <v>-32215302156.93</v>
          </cell>
          <cell r="R186">
            <v>-32215302156.93</v>
          </cell>
        </row>
        <row r="187">
          <cell r="E187">
            <v>22</v>
          </cell>
          <cell r="F187" t="str">
            <v>Transferencias de capital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</row>
        <row r="188">
          <cell r="E188">
            <v>22</v>
          </cell>
          <cell r="F188" t="str">
            <v>Contribuciones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</row>
        <row r="189">
          <cell r="E189">
            <v>200</v>
          </cell>
          <cell r="F189" t="str">
            <v>Resultados de ejercicios anteriores</v>
          </cell>
          <cell r="G189">
            <v>126277671520.33</v>
          </cell>
          <cell r="H189">
            <v>0</v>
          </cell>
          <cell r="I189">
            <v>149272709226.53</v>
          </cell>
          <cell r="J189">
            <v>0</v>
          </cell>
          <cell r="K189">
            <v>275550380746.85999</v>
          </cell>
          <cell r="L189">
            <v>0</v>
          </cell>
          <cell r="M189">
            <v>155261036272.55997</v>
          </cell>
          <cell r="N189">
            <v>4696003421.1199999</v>
          </cell>
          <cell r="O189">
            <v>0</v>
          </cell>
          <cell r="P189">
            <v>150565032851.43997</v>
          </cell>
          <cell r="Q189">
            <v>150565032851.43997</v>
          </cell>
          <cell r="R189">
            <v>1292323624.9099731</v>
          </cell>
        </row>
        <row r="190">
          <cell r="F190" t="str">
            <v>Resultado del ejercicio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</row>
        <row r="191">
          <cell r="E191">
            <v>200</v>
          </cell>
          <cell r="F191" t="str">
            <v>Rdos. afectados a constr. de bs. de dominio público</v>
          </cell>
          <cell r="G191">
            <v>301637138.57999998</v>
          </cell>
          <cell r="H191">
            <v>0</v>
          </cell>
          <cell r="I191">
            <v>356564959.88</v>
          </cell>
          <cell r="J191">
            <v>0</v>
          </cell>
          <cell r="K191">
            <v>658202098.46000004</v>
          </cell>
          <cell r="L191">
            <v>0</v>
          </cell>
          <cell r="M191">
            <v>356564959.88</v>
          </cell>
          <cell r="N191">
            <v>0</v>
          </cell>
          <cell r="O191">
            <v>0</v>
          </cell>
          <cell r="P191">
            <v>356564959.88</v>
          </cell>
          <cell r="Q191">
            <v>356564959.88</v>
          </cell>
          <cell r="R191">
            <v>0</v>
          </cell>
        </row>
        <row r="192">
          <cell r="E192">
            <v>21</v>
          </cell>
          <cell r="F192" t="str">
            <v>Variaciones Patrimoniales Res.47/97</v>
          </cell>
          <cell r="G192">
            <v>0</v>
          </cell>
          <cell r="H192">
            <v>95796830.890000001</v>
          </cell>
          <cell r="I192">
            <v>0</v>
          </cell>
          <cell r="J192">
            <v>113241338</v>
          </cell>
          <cell r="K192">
            <v>0</v>
          </cell>
          <cell r="L192">
            <v>209038168.88999999</v>
          </cell>
          <cell r="M192">
            <v>0</v>
          </cell>
          <cell r="N192">
            <v>113241338</v>
          </cell>
          <cell r="O192">
            <v>0</v>
          </cell>
          <cell r="P192">
            <v>-113241338</v>
          </cell>
          <cell r="Q192">
            <v>-113241338</v>
          </cell>
          <cell r="R192">
            <v>0</v>
          </cell>
        </row>
        <row r="193">
          <cell r="E193">
            <v>21</v>
          </cell>
          <cell r="F193" t="str">
            <v>Variaciones Patrimoniales D.A.56/99</v>
          </cell>
          <cell r="G193">
            <v>0</v>
          </cell>
          <cell r="H193">
            <v>1370217217.3800001</v>
          </cell>
          <cell r="I193">
            <v>0</v>
          </cell>
          <cell r="J193">
            <v>1619732402.45</v>
          </cell>
          <cell r="K193">
            <v>0</v>
          </cell>
          <cell r="L193">
            <v>2989949619.8299999</v>
          </cell>
          <cell r="M193">
            <v>0</v>
          </cell>
          <cell r="N193">
            <v>1700163158.21</v>
          </cell>
          <cell r="O193">
            <v>0</v>
          </cell>
          <cell r="P193">
            <v>-1700163158.21</v>
          </cell>
          <cell r="Q193">
            <v>-1700163158.21</v>
          </cell>
          <cell r="R193">
            <v>-80430755.75999999</v>
          </cell>
        </row>
        <row r="194">
          <cell r="E194">
            <v>21</v>
          </cell>
          <cell r="F194" t="str">
            <v>Patrimonio publico</v>
          </cell>
          <cell r="G194">
            <v>0</v>
          </cell>
          <cell r="H194">
            <v>267234223.91</v>
          </cell>
          <cell r="I194">
            <v>0</v>
          </cell>
          <cell r="J194">
            <v>315897308.85000002</v>
          </cell>
          <cell r="K194">
            <v>0</v>
          </cell>
          <cell r="L194">
            <v>583131532.75999999</v>
          </cell>
          <cell r="M194">
            <v>0</v>
          </cell>
          <cell r="N194">
            <v>315897308.85000002</v>
          </cell>
          <cell r="O194">
            <v>0</v>
          </cell>
          <cell r="P194">
            <v>-315897308.85000002</v>
          </cell>
          <cell r="Q194">
            <v>-315897308.85000002</v>
          </cell>
          <cell r="R194">
            <v>0</v>
          </cell>
        </row>
        <row r="195">
          <cell r="E195">
            <v>20</v>
          </cell>
          <cell r="F195" t="str">
            <v>Impuestos directos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516793441.81</v>
          </cell>
          <cell r="N195">
            <v>5464826721.1800003</v>
          </cell>
          <cell r="O195">
            <v>0</v>
          </cell>
          <cell r="P195">
            <v>-4948033279.3699999</v>
          </cell>
          <cell r="Q195">
            <v>-4948033279.3699999</v>
          </cell>
          <cell r="R195">
            <v>-4948033279.3699999</v>
          </cell>
        </row>
        <row r="196">
          <cell r="E196">
            <v>20</v>
          </cell>
          <cell r="F196" t="str">
            <v>Impuestos indirectos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1487380235.72</v>
          </cell>
          <cell r="N196">
            <v>24158188252.68</v>
          </cell>
          <cell r="O196">
            <v>0</v>
          </cell>
          <cell r="P196">
            <v>-22670808016.959999</v>
          </cell>
          <cell r="Q196">
            <v>-22670808016.959999</v>
          </cell>
          <cell r="R196">
            <v>-22670808016.959999</v>
          </cell>
        </row>
        <row r="197">
          <cell r="E197">
            <v>20</v>
          </cell>
          <cell r="F197" t="str">
            <v>Contribuciones a la Seguridad Social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2391908.19</v>
          </cell>
          <cell r="N197">
            <v>112319468.98999999</v>
          </cell>
          <cell r="O197">
            <v>0</v>
          </cell>
          <cell r="P197">
            <v>-109927560.8</v>
          </cell>
          <cell r="Q197">
            <v>-109927560.8</v>
          </cell>
          <cell r="R197">
            <v>-109927560.8</v>
          </cell>
        </row>
        <row r="198">
          <cell r="E198">
            <v>20</v>
          </cell>
          <cell r="F198" t="str">
            <v>Otras contribuciones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</row>
        <row r="199">
          <cell r="E199">
            <v>20</v>
          </cell>
          <cell r="F199" t="str">
            <v>Tasas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10023010.880000001</v>
          </cell>
          <cell r="N199">
            <v>343290083.56</v>
          </cell>
          <cell r="O199">
            <v>0</v>
          </cell>
          <cell r="P199">
            <v>-333267072.68000001</v>
          </cell>
          <cell r="Q199">
            <v>-333267072.68000001</v>
          </cell>
          <cell r="R199">
            <v>-333267072.68000001</v>
          </cell>
        </row>
        <row r="200">
          <cell r="E200">
            <v>20</v>
          </cell>
          <cell r="F200" t="str">
            <v>Derechos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1946284.16</v>
          </cell>
          <cell r="N200">
            <v>98793698.780000001</v>
          </cell>
          <cell r="O200">
            <v>0</v>
          </cell>
          <cell r="P200">
            <v>-96847414.620000005</v>
          </cell>
          <cell r="Q200">
            <v>-96847414.620000005</v>
          </cell>
          <cell r="R200">
            <v>-96847414.620000005</v>
          </cell>
        </row>
        <row r="201">
          <cell r="E201">
            <v>20</v>
          </cell>
          <cell r="F201" t="str">
            <v>Otros no tributarios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99083894.38000001</v>
          </cell>
          <cell r="N201">
            <v>820086798.80999994</v>
          </cell>
          <cell r="O201">
            <v>0</v>
          </cell>
          <cell r="P201">
            <v>-721002904.42999995</v>
          </cell>
          <cell r="Q201">
            <v>-721002904.42999995</v>
          </cell>
          <cell r="R201">
            <v>-721002904.42999995</v>
          </cell>
        </row>
        <row r="202">
          <cell r="E202">
            <v>20</v>
          </cell>
          <cell r="F202" t="str">
            <v>Vta de bs y serv de las adm. públicas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16027860.32</v>
          </cell>
          <cell r="N202">
            <v>110446347.78999999</v>
          </cell>
          <cell r="O202">
            <v>0</v>
          </cell>
          <cell r="P202">
            <v>-94418487.469999999</v>
          </cell>
          <cell r="Q202">
            <v>-94418487.469999999</v>
          </cell>
          <cell r="R202">
            <v>-94418487.469999999</v>
          </cell>
        </row>
        <row r="203">
          <cell r="E203">
            <v>20</v>
          </cell>
          <cell r="F203" t="str">
            <v>Intereses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42312307.450000003</v>
          </cell>
          <cell r="N203">
            <v>367679660.08000004</v>
          </cell>
          <cell r="O203">
            <v>0</v>
          </cell>
          <cell r="P203">
            <v>-325367352.63000005</v>
          </cell>
          <cell r="Q203">
            <v>-325367352.63000005</v>
          </cell>
          <cell r="R203">
            <v>-325367352.63000005</v>
          </cell>
        </row>
        <row r="204">
          <cell r="E204">
            <v>20</v>
          </cell>
          <cell r="F204" t="str">
            <v>Dividendos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144852.9</v>
          </cell>
          <cell r="N204">
            <v>2151052080.4499998</v>
          </cell>
          <cell r="O204">
            <v>0</v>
          </cell>
          <cell r="P204">
            <v>-2150907227.5499997</v>
          </cell>
          <cell r="Q204">
            <v>-2150907227.5499997</v>
          </cell>
          <cell r="R204">
            <v>-2150907227.5499997</v>
          </cell>
        </row>
        <row r="205">
          <cell r="E205">
            <v>20</v>
          </cell>
          <cell r="F205" t="str">
            <v>Arrendamientos de tierras y terrenos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2531015.71</v>
          </cell>
          <cell r="O205">
            <v>0</v>
          </cell>
          <cell r="P205">
            <v>-2531015.71</v>
          </cell>
          <cell r="Q205">
            <v>-2531015.71</v>
          </cell>
          <cell r="R205">
            <v>-2531015.71</v>
          </cell>
        </row>
        <row r="206">
          <cell r="E206">
            <v>20</v>
          </cell>
          <cell r="F206" t="str">
            <v>Derechos sobre bienes intangibles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</row>
        <row r="207">
          <cell r="E207">
            <v>20</v>
          </cell>
          <cell r="F207" t="str">
            <v>Transferencias del sector privado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124.58</v>
          </cell>
          <cell r="N207">
            <v>19890986.960000001</v>
          </cell>
          <cell r="O207">
            <v>0</v>
          </cell>
          <cell r="P207">
            <v>-19890862.380000003</v>
          </cell>
          <cell r="Q207">
            <v>-19890862.380000003</v>
          </cell>
          <cell r="R207">
            <v>-19890862.380000003</v>
          </cell>
        </row>
        <row r="208">
          <cell r="E208">
            <v>20</v>
          </cell>
          <cell r="F208" t="str">
            <v>Transferencias corrientes del sector público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298214776.79000002</v>
          </cell>
          <cell r="N208">
            <v>579925328.25</v>
          </cell>
          <cell r="O208">
            <v>0</v>
          </cell>
          <cell r="P208">
            <v>-281710551.45999998</v>
          </cell>
          <cell r="Q208">
            <v>-281710551.45999998</v>
          </cell>
          <cell r="R208">
            <v>-281710551.45999998</v>
          </cell>
        </row>
        <row r="209">
          <cell r="E209">
            <v>20</v>
          </cell>
          <cell r="F209" t="str">
            <v>Transferencias del sector externo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13188543.469999999</v>
          </cell>
          <cell r="O209">
            <v>0</v>
          </cell>
          <cell r="P209">
            <v>-13188543.469999999</v>
          </cell>
          <cell r="Q209">
            <v>-13188543.469999999</v>
          </cell>
          <cell r="R209">
            <v>-13188543.469999999</v>
          </cell>
        </row>
        <row r="210">
          <cell r="E210">
            <v>20</v>
          </cell>
          <cell r="F210" t="str">
            <v>Contribuciones de la Adm. Central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49486459.280000001</v>
          </cell>
          <cell r="N210">
            <v>176078075.37</v>
          </cell>
          <cell r="O210">
            <v>0</v>
          </cell>
          <cell r="P210">
            <v>-126591616.09</v>
          </cell>
          <cell r="Q210">
            <v>-126591616.09</v>
          </cell>
          <cell r="R210">
            <v>-126591616.09</v>
          </cell>
        </row>
        <row r="211">
          <cell r="E211">
            <v>20</v>
          </cell>
          <cell r="F211" t="str">
            <v>Contribuciones de los Org. Descentralizados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11043326.1</v>
          </cell>
          <cell r="N211">
            <v>301882360.25</v>
          </cell>
          <cell r="O211">
            <v>0</v>
          </cell>
          <cell r="P211">
            <v>-290839034.14999998</v>
          </cell>
          <cell r="Q211">
            <v>-290839034.14999998</v>
          </cell>
          <cell r="R211">
            <v>-290839034.14999998</v>
          </cell>
        </row>
        <row r="212">
          <cell r="E212">
            <v>20</v>
          </cell>
          <cell r="F212" t="str">
            <v>Contribuciones de los Org. de Seguridad Social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72930998.13000001</v>
          </cell>
          <cell r="N212">
            <v>1115572406.51</v>
          </cell>
          <cell r="O212">
            <v>0</v>
          </cell>
          <cell r="P212">
            <v>-1042641408.38</v>
          </cell>
          <cell r="Q212">
            <v>-1042641408.38</v>
          </cell>
          <cell r="R212">
            <v>-1042641408.38</v>
          </cell>
        </row>
        <row r="213">
          <cell r="E213">
            <v>20</v>
          </cell>
          <cell r="F213" t="str">
            <v>Diferencia de cambio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13712946.439999999</v>
          </cell>
          <cell r="N213">
            <v>166508168032.35001</v>
          </cell>
          <cell r="O213">
            <v>0</v>
          </cell>
          <cell r="P213">
            <v>-166494455085.91</v>
          </cell>
          <cell r="Q213">
            <v>-166494455085.91</v>
          </cell>
          <cell r="R213">
            <v>-166494455085.91</v>
          </cell>
        </row>
        <row r="214">
          <cell r="E214">
            <v>20</v>
          </cell>
          <cell r="F214" t="str">
            <v>Diferencia de cotización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39902715.840000004</v>
          </cell>
          <cell r="N214">
            <v>2510122216.46</v>
          </cell>
          <cell r="O214">
            <v>0</v>
          </cell>
          <cell r="P214">
            <v>-2470219500.6199999</v>
          </cell>
          <cell r="Q214">
            <v>-2470219500.6199999</v>
          </cell>
          <cell r="R214">
            <v>-2470219500.6199999</v>
          </cell>
        </row>
        <row r="215">
          <cell r="E215">
            <v>20</v>
          </cell>
          <cell r="F215" t="str">
            <v>Rdo.por Exposición a la Inflación Recursos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177826803182.64999</v>
          </cell>
          <cell r="O215">
            <v>0</v>
          </cell>
          <cell r="P215">
            <v>-177826803182.64999</v>
          </cell>
          <cell r="Q215">
            <v>-177826803182.64999</v>
          </cell>
          <cell r="R215">
            <v>-177826803182.64999</v>
          </cell>
        </row>
        <row r="216">
          <cell r="E216">
            <v>20</v>
          </cell>
          <cell r="F216" t="str">
            <v>Resultado por Tenencia Recursos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</row>
        <row r="217">
          <cell r="E217">
            <v>20</v>
          </cell>
          <cell r="F217" t="str">
            <v>Otros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38531260314.549995</v>
          </cell>
          <cell r="N217">
            <v>73377696845.959991</v>
          </cell>
          <cell r="O217">
            <v>0</v>
          </cell>
          <cell r="P217">
            <v>-34846436531.409996</v>
          </cell>
          <cell r="Q217">
            <v>-34846436531.409996</v>
          </cell>
          <cell r="R217">
            <v>-34846436531.409996</v>
          </cell>
        </row>
        <row r="218">
          <cell r="E218">
            <v>20</v>
          </cell>
          <cell r="F218" t="str">
            <v>Sueldos y salarios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5338532336.0599995</v>
          </cell>
          <cell r="N218">
            <v>19842155.68</v>
          </cell>
          <cell r="O218">
            <v>0</v>
          </cell>
          <cell r="P218">
            <v>5318690180.3799992</v>
          </cell>
          <cell r="Q218">
            <v>5318690180.3799992</v>
          </cell>
          <cell r="R218">
            <v>5318690180.3799992</v>
          </cell>
        </row>
        <row r="219">
          <cell r="E219">
            <v>20</v>
          </cell>
          <cell r="F219" t="str">
            <v>Contribuciones patronales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824116494.09000003</v>
          </cell>
          <cell r="N219">
            <v>3338363.73</v>
          </cell>
          <cell r="O219">
            <v>0</v>
          </cell>
          <cell r="P219">
            <v>820778130.36000001</v>
          </cell>
          <cell r="Q219">
            <v>820778130.36000001</v>
          </cell>
          <cell r="R219">
            <v>820778130.36000001</v>
          </cell>
        </row>
        <row r="220">
          <cell r="E220">
            <v>20</v>
          </cell>
          <cell r="F220" t="str">
            <v>Prestaciones sociales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159956188.13</v>
          </cell>
          <cell r="N220">
            <v>95854.82</v>
          </cell>
          <cell r="O220">
            <v>0</v>
          </cell>
          <cell r="P220">
            <v>159860333.31</v>
          </cell>
          <cell r="Q220">
            <v>159860333.31</v>
          </cell>
          <cell r="R220">
            <v>159860333.31</v>
          </cell>
        </row>
        <row r="221">
          <cell r="E221">
            <v>20</v>
          </cell>
          <cell r="F221" t="str">
            <v>Beneficios y compensaciones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146045817.98000002</v>
          </cell>
          <cell r="N221">
            <v>297765.98</v>
          </cell>
          <cell r="O221">
            <v>0</v>
          </cell>
          <cell r="P221">
            <v>145748052.00000003</v>
          </cell>
          <cell r="Q221">
            <v>145748052.00000003</v>
          </cell>
          <cell r="R221">
            <v>145748052.00000003</v>
          </cell>
        </row>
        <row r="222">
          <cell r="E222">
            <v>20</v>
          </cell>
          <cell r="F222" t="str">
            <v>Bienes de consumo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1024404545.1899999</v>
          </cell>
          <cell r="N222">
            <v>86564636.040000007</v>
          </cell>
          <cell r="O222">
            <v>0</v>
          </cell>
          <cell r="P222">
            <v>937839909.14999998</v>
          </cell>
          <cell r="Q222">
            <v>937839909.14999998</v>
          </cell>
          <cell r="R222">
            <v>937839909.14999998</v>
          </cell>
        </row>
        <row r="223">
          <cell r="E223">
            <v>20</v>
          </cell>
          <cell r="F223" t="str">
            <v>Servicios no personales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1340272285.3700001</v>
          </cell>
          <cell r="N223">
            <v>81441839.370000005</v>
          </cell>
          <cell r="O223">
            <v>0</v>
          </cell>
          <cell r="P223">
            <v>1258830446</v>
          </cell>
          <cell r="Q223">
            <v>1258830446</v>
          </cell>
          <cell r="R223">
            <v>1258830446</v>
          </cell>
        </row>
        <row r="224">
          <cell r="E224">
            <v>20</v>
          </cell>
          <cell r="F224" t="str">
            <v>Impuestos indirectos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180814.16</v>
          </cell>
          <cell r="N224">
            <v>0</v>
          </cell>
          <cell r="O224">
            <v>0</v>
          </cell>
          <cell r="P224">
            <v>180814.16</v>
          </cell>
          <cell r="Q224">
            <v>180814.16</v>
          </cell>
          <cell r="R224">
            <v>180814.16</v>
          </cell>
        </row>
        <row r="225">
          <cell r="E225">
            <v>20</v>
          </cell>
          <cell r="F225" t="str">
            <v>Amortización de bienes de uso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652296890.08000004</v>
          </cell>
          <cell r="N225">
            <v>0</v>
          </cell>
          <cell r="O225">
            <v>0</v>
          </cell>
          <cell r="P225">
            <v>652296890.08000004</v>
          </cell>
          <cell r="Q225">
            <v>652296890.08000004</v>
          </cell>
          <cell r="R225">
            <v>652296890.08000004</v>
          </cell>
          <cell r="U225">
            <v>652296890.08000004</v>
          </cell>
        </row>
        <row r="226">
          <cell r="E226">
            <v>20</v>
          </cell>
          <cell r="F226" t="str">
            <v>Amortización de bienes inmateriales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3079818.9</v>
          </cell>
          <cell r="N226">
            <v>0</v>
          </cell>
          <cell r="O226">
            <v>0</v>
          </cell>
          <cell r="P226">
            <v>3079818.9</v>
          </cell>
          <cell r="Q226">
            <v>3079818.9</v>
          </cell>
          <cell r="R226">
            <v>3079818.9</v>
          </cell>
          <cell r="U226">
            <v>3079818.9</v>
          </cell>
        </row>
        <row r="227">
          <cell r="E227">
            <v>20</v>
          </cell>
          <cell r="F227" t="str">
            <v>Cuentas a cobrar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</row>
        <row r="228">
          <cell r="E228">
            <v>20</v>
          </cell>
          <cell r="F228" t="str">
            <v>Documentos a cobrar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</row>
        <row r="229">
          <cell r="E229">
            <v>20</v>
          </cell>
          <cell r="F229" t="str">
            <v>Otros créditos a cobrar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3030096.8</v>
          </cell>
          <cell r="N229">
            <v>0</v>
          </cell>
          <cell r="O229">
            <v>0</v>
          </cell>
          <cell r="P229">
            <v>3030096.8</v>
          </cell>
          <cell r="Q229">
            <v>3030096.8</v>
          </cell>
          <cell r="R229">
            <v>3030096.8</v>
          </cell>
        </row>
        <row r="230">
          <cell r="E230">
            <v>20</v>
          </cell>
          <cell r="F230" t="str">
            <v>Autoseguro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1">
          <cell r="E231">
            <v>20</v>
          </cell>
          <cell r="F231" t="str">
            <v>Reservas técnicas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</row>
        <row r="232">
          <cell r="E232">
            <v>20</v>
          </cell>
          <cell r="F232" t="str">
            <v>Otras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</row>
        <row r="233">
          <cell r="E233">
            <v>20</v>
          </cell>
          <cell r="F233" t="str">
            <v>Intereses de deuda interna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30259635907.82</v>
          </cell>
          <cell r="N233">
            <v>183558798.18000001</v>
          </cell>
          <cell r="O233">
            <v>0</v>
          </cell>
          <cell r="P233">
            <v>30076077109.639999</v>
          </cell>
          <cell r="Q233">
            <v>30076077109.639999</v>
          </cell>
          <cell r="R233">
            <v>30076077109.639999</v>
          </cell>
        </row>
        <row r="234">
          <cell r="E234">
            <v>20</v>
          </cell>
          <cell r="F234" t="str">
            <v>Intereses de deuda externa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19680321785.580002</v>
          </cell>
          <cell r="N234">
            <v>4737912924.3100004</v>
          </cell>
          <cell r="O234">
            <v>0</v>
          </cell>
          <cell r="P234">
            <v>14942408861.27</v>
          </cell>
          <cell r="Q234">
            <v>14942408861.27</v>
          </cell>
          <cell r="R234">
            <v>14942408861.27</v>
          </cell>
        </row>
        <row r="235">
          <cell r="E235">
            <v>20</v>
          </cell>
          <cell r="F235" t="str">
            <v>Arrendamientos de tierras y terrenos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88503</v>
          </cell>
          <cell r="N235">
            <v>76.069999999999993</v>
          </cell>
          <cell r="O235">
            <v>0</v>
          </cell>
          <cell r="P235">
            <v>88426.93</v>
          </cell>
          <cell r="Q235">
            <v>88426.93</v>
          </cell>
          <cell r="R235">
            <v>88426.93</v>
          </cell>
        </row>
        <row r="236">
          <cell r="E236">
            <v>20</v>
          </cell>
          <cell r="F236" t="str">
            <v>Derechos sobre bienes inmateriales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818493.81</v>
          </cell>
          <cell r="N236">
            <v>0</v>
          </cell>
          <cell r="O236">
            <v>0</v>
          </cell>
          <cell r="P236">
            <v>818493.81</v>
          </cell>
          <cell r="Q236">
            <v>818493.81</v>
          </cell>
          <cell r="R236">
            <v>818493.81</v>
          </cell>
        </row>
        <row r="237">
          <cell r="E237">
            <v>20</v>
          </cell>
          <cell r="F237" t="str">
            <v>Prestaciones de la seguridad social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1226044138.4000001</v>
          </cell>
          <cell r="N237">
            <v>50672103.030000001</v>
          </cell>
          <cell r="O237">
            <v>0</v>
          </cell>
          <cell r="P237">
            <v>1175372035.3700001</v>
          </cell>
          <cell r="Q237">
            <v>1175372035.3700001</v>
          </cell>
          <cell r="R237">
            <v>1175372035.3700001</v>
          </cell>
        </row>
        <row r="238">
          <cell r="E238">
            <v>20</v>
          </cell>
          <cell r="F238" t="str">
            <v>Transferencias al sector privado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22739101480.509998</v>
          </cell>
          <cell r="N238">
            <v>3209896726.8600001</v>
          </cell>
          <cell r="O238">
            <v>0</v>
          </cell>
          <cell r="P238">
            <v>19529204753.649998</v>
          </cell>
          <cell r="Q238">
            <v>19529204753.649998</v>
          </cell>
          <cell r="R238">
            <v>19529204753.649998</v>
          </cell>
        </row>
        <row r="239">
          <cell r="E239">
            <v>20</v>
          </cell>
          <cell r="F239" t="str">
            <v>Transferencias a la Adm. Nacional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2001872427.02</v>
          </cell>
          <cell r="N239">
            <v>4693052.6399999997</v>
          </cell>
          <cell r="O239">
            <v>0</v>
          </cell>
          <cell r="P239">
            <v>1997179374.3799999</v>
          </cell>
          <cell r="Q239">
            <v>1997179374.3799999</v>
          </cell>
          <cell r="R239">
            <v>1997179374.3799999</v>
          </cell>
        </row>
        <row r="240">
          <cell r="E240">
            <v>20</v>
          </cell>
          <cell r="F240" t="str">
            <v>Transferencias a empresas publicas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91720820.640000001</v>
          </cell>
          <cell r="N240">
            <v>2006044.95</v>
          </cell>
          <cell r="O240">
            <v>0</v>
          </cell>
          <cell r="P240">
            <v>89714775.689999998</v>
          </cell>
          <cell r="Q240">
            <v>89714775.689999998</v>
          </cell>
          <cell r="R240">
            <v>89714775.689999998</v>
          </cell>
        </row>
        <row r="241">
          <cell r="E241">
            <v>20</v>
          </cell>
          <cell r="F241" t="str">
            <v>Transfs a Instituciones Provinciales o Municipales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4610574169.2399998</v>
          </cell>
          <cell r="N241">
            <v>83336106.290000007</v>
          </cell>
          <cell r="O241">
            <v>0</v>
          </cell>
          <cell r="P241">
            <v>4527238062.9499998</v>
          </cell>
          <cell r="Q241">
            <v>4527238062.9499998</v>
          </cell>
          <cell r="R241">
            <v>4527238062.9499998</v>
          </cell>
        </row>
        <row r="242">
          <cell r="E242">
            <v>20</v>
          </cell>
          <cell r="F242" t="str">
            <v>Transferencias al sector externo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91853935.930000007</v>
          </cell>
          <cell r="N242">
            <v>3350733.47</v>
          </cell>
          <cell r="O242">
            <v>0</v>
          </cell>
          <cell r="P242">
            <v>88503202.460000008</v>
          </cell>
          <cell r="Q242">
            <v>88503202.460000008</v>
          </cell>
          <cell r="R242">
            <v>88503202.460000008</v>
          </cell>
        </row>
        <row r="243">
          <cell r="E243">
            <v>20</v>
          </cell>
          <cell r="F243" t="str">
            <v>Contribuciones a la Adm. Central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127179088.22</v>
          </cell>
          <cell r="N243">
            <v>587472.13</v>
          </cell>
          <cell r="O243">
            <v>0</v>
          </cell>
          <cell r="P243">
            <v>126591616.09</v>
          </cell>
          <cell r="Q243">
            <v>126591616.09</v>
          </cell>
          <cell r="R243">
            <v>126591616.09</v>
          </cell>
        </row>
        <row r="244">
          <cell r="E244">
            <v>20</v>
          </cell>
          <cell r="F244" t="str">
            <v>Contribuciones a Org. Descentralizados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1207998572.51</v>
          </cell>
          <cell r="N244">
            <v>3056195.85</v>
          </cell>
          <cell r="O244">
            <v>0</v>
          </cell>
          <cell r="P244">
            <v>1204942376.6600001</v>
          </cell>
          <cell r="Q244">
            <v>1204942376.6600001</v>
          </cell>
          <cell r="R244">
            <v>1204942376.6600001</v>
          </cell>
        </row>
        <row r="245">
          <cell r="E245">
            <v>20</v>
          </cell>
          <cell r="F245" t="str">
            <v>Contribuciones a Org. de la Seguridad Social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10755171455.32</v>
          </cell>
          <cell r="N245">
            <v>1387105091</v>
          </cell>
          <cell r="O245">
            <v>0</v>
          </cell>
          <cell r="P245">
            <v>9368066364.3199997</v>
          </cell>
          <cell r="Q245">
            <v>9368066364.3199997</v>
          </cell>
          <cell r="R245">
            <v>9368066364.3199997</v>
          </cell>
        </row>
        <row r="246">
          <cell r="E246">
            <v>20</v>
          </cell>
          <cell r="F246" t="str">
            <v>Diferencia de cambio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437090898285.20001</v>
          </cell>
          <cell r="N246">
            <v>21401112404.029999</v>
          </cell>
          <cell r="O246">
            <v>0</v>
          </cell>
          <cell r="P246">
            <v>415689785881.17004</v>
          </cell>
          <cell r="Q246">
            <v>415689785881.17004</v>
          </cell>
          <cell r="R246">
            <v>415689785881.17004</v>
          </cell>
        </row>
        <row r="247">
          <cell r="E247">
            <v>20</v>
          </cell>
          <cell r="F247" t="str">
            <v>Diferencia de cotización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346935367.61000001</v>
          </cell>
          <cell r="N247">
            <v>41941320.109999999</v>
          </cell>
          <cell r="O247">
            <v>0</v>
          </cell>
          <cell r="P247">
            <v>304994047.5</v>
          </cell>
          <cell r="Q247">
            <v>304994047.5</v>
          </cell>
          <cell r="R247">
            <v>304994047.5</v>
          </cell>
        </row>
        <row r="248">
          <cell r="E248">
            <v>20</v>
          </cell>
          <cell r="F248" t="str">
            <v>Pérdidas por juicios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955485659.06999993</v>
          </cell>
          <cell r="N248">
            <v>9349.51</v>
          </cell>
          <cell r="O248">
            <v>0</v>
          </cell>
          <cell r="P248">
            <v>955476309.55999994</v>
          </cell>
          <cell r="Q248">
            <v>955476309.55999994</v>
          </cell>
          <cell r="R248">
            <v>955476309.55999994</v>
          </cell>
        </row>
        <row r="249">
          <cell r="E249">
            <v>20</v>
          </cell>
          <cell r="F249" t="str">
            <v>Rdo.por Exposición a la Inflación Gastos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49261490847.769997</v>
          </cell>
          <cell r="N249">
            <v>0</v>
          </cell>
          <cell r="O249">
            <v>0</v>
          </cell>
          <cell r="P249">
            <v>49261490847.769997</v>
          </cell>
          <cell r="Q249">
            <v>49261490847.769997</v>
          </cell>
          <cell r="R249">
            <v>49261490847.769997</v>
          </cell>
        </row>
        <row r="250">
          <cell r="E250">
            <v>20</v>
          </cell>
          <cell r="F250" t="str">
            <v>Resultado por Tenencia Gastos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</row>
        <row r="251">
          <cell r="E251">
            <v>20</v>
          </cell>
          <cell r="F251" t="str">
            <v>Otras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3896763128.9699998</v>
          </cell>
          <cell r="N251">
            <v>7608967.9000000004</v>
          </cell>
          <cell r="O251">
            <v>0</v>
          </cell>
          <cell r="P251">
            <v>3889154161.0699997</v>
          </cell>
          <cell r="Q251">
            <v>3889154161.0699997</v>
          </cell>
          <cell r="R251">
            <v>3889154161.0699997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_DINAMICA"/>
      <sheetName val="Hoja2"/>
      <sheetName val="20 10 2022"/>
      <sheetName val="BD_ADM"/>
      <sheetName val="Borrador Ganaderia"/>
      <sheetName val="Borrador Agricultura"/>
      <sheetName val="DIA A DIAvehic asist pagos "/>
      <sheetName val="Walter Medina PAGO"/>
      <sheetName val="Aplicaciones camp 2023 2024"/>
      <sheetName val="DIARIO GRAL"/>
      <sheetName val="MOV HACIENDA"/>
      <sheetName val="Tropa ingresada 30 03 2023 "/>
      <sheetName val="REMITOS INSUMOS"/>
      <sheetName val="ORDEN DE TRABAJO"/>
      <sheetName val="BD COMERCIAL"/>
      <sheetName val="REMITOS"/>
      <sheetName val="LISTAS"/>
      <sheetName val="BORRADOR"/>
      <sheetName val="COMPRA VENTA HACIEND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A3" t="str">
            <v>ADMINISTRACION</v>
          </cell>
          <cell r="O3" t="str">
            <v>PAGADO</v>
          </cell>
          <cell r="S3" t="str">
            <v>A</v>
          </cell>
        </row>
        <row r="4">
          <cell r="O4" t="str">
            <v>PENDIENTE</v>
          </cell>
          <cell r="S4" t="str">
            <v>B</v>
          </cell>
        </row>
        <row r="5">
          <cell r="O5" t="str">
            <v>CONTRATO SOJA</v>
          </cell>
          <cell r="S5" t="str">
            <v>C</v>
          </cell>
        </row>
        <row r="6">
          <cell r="O6" t="str">
            <v>CONTRATO MAIZ</v>
          </cell>
          <cell r="S6" t="str">
            <v>X</v>
          </cell>
        </row>
        <row r="7">
          <cell r="S7" t="str">
            <v>NOTA DE DEBITO</v>
          </cell>
        </row>
      </sheetData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GRICULTURA"/>
      <sheetName val="FACTURAS"/>
      <sheetName val="REMITO_INSUMOS"/>
      <sheetName val="REMITO_SEMILLAS"/>
      <sheetName val="REMITO_COSECHA"/>
      <sheetName val="LISTAS (2)"/>
      <sheetName val="LISTA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" refreshedDate="45870.459661458335" createdVersion="8" refreshedVersion="8" minRefreshableVersion="3" recordCount="1433" xr:uid="{777AA83C-B1EE-4C92-8F11-6EE859611451}">
  <cacheSource type="worksheet">
    <worksheetSource name="Tabla3"/>
  </cacheSource>
  <cacheFields count="25">
    <cacheField name="PERIODO" numFmtId="166">
      <sharedItems containsBlank="1" count="9">
        <s v="ENERO"/>
        <s v="FEBRERO"/>
        <s v="MARZO"/>
        <s v="ABRIL"/>
        <s v="MAYO"/>
        <s v="JUNIO"/>
        <s v="JULIO"/>
        <s v="AGOSTO"/>
        <m u="1"/>
      </sharedItems>
    </cacheField>
    <cacheField name="FECHA" numFmtId="0">
      <sharedItems containsSemiMixedTypes="0" containsNonDate="0" containsDate="1" containsString="0" minDate="2025-01-02T00:00:00" maxDate="2025-08-02T00:00:00"/>
    </cacheField>
    <cacheField name="DESCRIPCION" numFmtId="0">
      <sharedItems/>
    </cacheField>
    <cacheField name="N DE REFERENCIA" numFmtId="0">
      <sharedItems containsBlank="1" containsMixedTypes="1" containsNumber="1" containsInteger="1" minValue="51936050" maxValue="51936050"/>
    </cacheField>
    <cacheField name="EGRESOS" numFmtId="44">
      <sharedItems containsSemiMixedTypes="0" containsString="0" containsNumber="1" minValue="0" maxValue="60000000"/>
    </cacheField>
    <cacheField name="INGRESOS" numFmtId="44">
      <sharedItems containsString="0" containsBlank="1" containsNumber="1" minValue="0" maxValue="80757852"/>
    </cacheField>
    <cacheField name="SALDO" numFmtId="44">
      <sharedItems containsSemiMixedTypes="0" containsString="0" containsNumber="1" minValue="-60000000" maxValue="80757852"/>
    </cacheField>
    <cacheField name="SALDO BANCO" numFmtId="0">
      <sharedItems containsString="0" containsBlank="1" containsNumber="1" minValue="-26525398.100000001" maxValue="114337440.58"/>
    </cacheField>
    <cacheField name="TC" numFmtId="44">
      <sharedItems containsSemiMixedTypes="0" containsString="0" containsNumber="1" containsInteger="1" minValue="1140" maxValue="1290"/>
    </cacheField>
    <cacheField name="EGRES USD" numFmtId="165">
      <sharedItems containsSemiMixedTypes="0" containsString="0" containsNumber="1" minValue="0" maxValue="52631.57894736842"/>
    </cacheField>
    <cacheField name="INGRES USD" numFmtId="165">
      <sharedItems containsSemiMixedTypes="0" containsString="0" containsNumber="1" minValue="0" maxValue="62602.986046511629"/>
    </cacheField>
    <cacheField name="MONEDA" numFmtId="0">
      <sharedItems containsBlank="1"/>
    </cacheField>
    <cacheField name="CUENTA" numFmtId="0">
      <sharedItems/>
    </cacheField>
    <cacheField name="BANCO" numFmtId="0">
      <sharedItems/>
    </cacheField>
    <cacheField name="ACTIVIDAD" numFmtId="0">
      <sharedItems containsBlank="1" count="8">
        <s v="FINANCIERA"/>
        <s v="ADMINISTRACION"/>
        <s v="AGRICULTURA"/>
        <s v="ESTRUCTURA"/>
        <s v="OTROS"/>
        <s v="GANADERIA "/>
        <m u="1"/>
        <s v="ADD" u="1"/>
      </sharedItems>
    </cacheField>
    <cacheField name="RUBRO" numFmtId="0">
      <sharedItems containsBlank="1" count="30">
        <s v="INTERBANKING"/>
        <s v="GASTOS_BANC"/>
        <s v="SOCIOS"/>
        <s v="PERSONAL"/>
        <s v="CULT. PRINCIPAL"/>
        <s v="ESTABLECIMIENTO"/>
        <s v="GASTOS_FIN"/>
        <s v="GASTOS_ADM"/>
        <s v="VEHICULOS"/>
        <s v="SOCIAL"/>
        <s v="CREDITOS"/>
        <s v="TERCEROS"/>
        <s v="AMORT. CREDITOS"/>
        <s v="COSTOS_OP"/>
        <s v="MAQUINARIAS"/>
        <s v="CULT. COBERTURA"/>
        <s v="PERROS"/>
        <s v="COMPRA"/>
        <s v="OVEJAS"/>
        <s v="AJUSTES"/>
        <s v="HONORARIOS"/>
        <s v="VENTAS"/>
        <s v="REGALO"/>
        <s v="INVERSIONES"/>
        <s v="CONSEJO CS EC"/>
        <s v="IVA" u="1"/>
        <s v="ALIMENTO" u="1"/>
        <m u="1"/>
        <s v="PLAN DE PAGOS" u="1"/>
        <s v="AYUDA SOCIAL" u="1"/>
      </sharedItems>
    </cacheField>
    <cacheField name="CONCEPTO" numFmtId="0">
      <sharedItems containsBlank="1" count="91">
        <s v="TRANSF. PROPIAS"/>
        <s v="IMPUESTOS"/>
        <s v="A CTA DE HONORARIOS"/>
        <s v="SUELDO"/>
        <s v="ASESORAMIENTO"/>
        <s v="SOJA"/>
        <s v="INSUMOS"/>
        <s v="MANTENIMIENTO"/>
        <s v="INTERESES "/>
        <s v="COMISIONES"/>
        <s v="OTROS"/>
        <s v="DUSTER"/>
        <s v="AYUDA SOCIAL"/>
        <s v="JORNALES"/>
        <s v="APORTES"/>
        <s v="RECIBIDOS"/>
        <s v="CUOTA 1 PAMPA"/>
        <s v="CUOTA 2 PAMPA"/>
        <s v="CUOTA 3 PAMPA"/>
        <s v="CUOTA 4 PAMPA"/>
        <s v="CUOTA NACION"/>
        <s v="VETERINARIA"/>
        <s v="MICHIGAN"/>
        <s v="RETIROS"/>
        <s v="SERVICIOS"/>
        <s v="ALFALFA"/>
        <s v="DEVOLUCION"/>
        <s v="MAIZ"/>
        <s v="PANADERIA"/>
        <s v="PILETA"/>
        <s v="SUPERMERCADO"/>
        <s v="ALIMENTOS"/>
        <s v="CANCELACION GALICIA"/>
        <s v="GALICIA A SOLA FIRMA 6MESES"/>
        <s v="LABORATORIO"/>
        <m/>
        <s v="COMBUSTIBLES"/>
        <s v="REPARACIONES "/>
        <s v="FLETES"/>
        <s v="GUIAS"/>
        <s v="SEMBRADORA"/>
        <s v="CUOTA 1- 203 TERNEROS"/>
        <s v="MACRO A SOLA FIRMA "/>
        <s v="ESQUILADO"/>
        <s v="LUBRICANTES"/>
        <s v="HONORARIOS"/>
        <s v="HILUX"/>
        <s v="SEGUROS"/>
        <s v="IVA"/>
        <s v="CONTABLE"/>
        <s v="SALDO RECUPERO"/>
        <s v="39 NOVILLOS"/>
        <s v="CONSTRUCCION"/>
        <s v="A KVIN POR CUMPLE"/>
        <s v="PRESTAMO"/>
        <s v="CONTRATO FW 120 TN"/>
        <s v="SUSCRIPCION"/>
        <s v="RESCATE"/>
        <s v="TASA MUNICIPAL"/>
        <s v="CUOTA 1- 68 TERNEROS"/>
        <s v="ALIMENTACION"/>
        <s v="APROBACION ACTAS"/>
        <s v="38 NOVILLOS"/>
        <s v="A CTA DE JUBILACION"/>
        <s v="MANI"/>
        <s v="INDUMENTARIA"/>
        <s v="SUPLEMENTOS"/>
        <s v="CANCELACION MACRO USD"/>
        <s v="CUOTA 2- 68 TERNEROS"/>
        <s v="CUOTA 1-63+17 TERNEROS"/>
        <s v="CUOTA 1- 25+55 TERNEROS"/>
        <s v="52 NOVILLOS"/>
        <s v="APORTES (EN REALIDAD EL DEVUELVE)"/>
        <s v="ALQUILER"/>
        <s v="PERROS" u="1"/>
        <s v="CONTRATO FW" u="1"/>
        <s v="CONTRATO MANI" u="1"/>
        <s v="HACIENDA" u="1"/>
        <s v="CUOTA 21 PAMPA" u="1"/>
        <s v="COSECHA" u="1"/>
        <s v="SIEMBRA" u="1"/>
        <s v="APLICACIONES" u="1"/>
        <s v="ENTRE CUENTAS" u="1"/>
        <s v="GASTOS VARIOS" u="1"/>
        <s v="DSMLZ, MICHIGAN" u="1"/>
        <s v="VIAJES O VIATICOS" u="1"/>
        <s v="CONTADORA" u="1"/>
        <s v="CANCELACION" u="1"/>
        <s v="CUOTA 1" u="1"/>
        <s v="OTORGADO" u="1"/>
        <s v=" MICHIGAN" u="1"/>
      </sharedItems>
    </cacheField>
    <cacheField name="DETALLES" numFmtId="0">
      <sharedItems containsBlank="1"/>
    </cacheField>
    <cacheField name="PROVEEDOR CLIENTE" numFmtId="0">
      <sharedItems containsBlank="1"/>
    </cacheField>
    <cacheField name="FACTURA" numFmtId="0">
      <sharedItems containsBlank="1"/>
    </cacheField>
    <cacheField name="RDS" numFmtId="0">
      <sharedItems containsBlank="1" count="62">
        <s v="06. COMPENSATORIOS"/>
        <s v="05. GASTOS_ADM"/>
        <s v="20. A CTA DE HONORARIOS"/>
        <s v="10. SUELDOS Y JORNALES"/>
        <s v="01. FACT PAGADAS 24"/>
        <s v="04. SIN FACTURA 25"/>
        <s v="02. FACT PAGADAS 25"/>
        <s v="03. SIN FACTURA 24"/>
        <s v="16. APORTE SOCIO RAUL"/>
        <s v="08. CREDITOS"/>
        <s v="17. TERCEROS"/>
        <s v="18. CANC PARCIAL CREDITO PAMPA"/>
        <s v="07. CANC PRESTAMO 2023"/>
        <s v="13. UTILIDADES MONICA"/>
        <s v="15. INGRESOS AGROPECUARIOS"/>
        <s v="12. UTILIDADES CLAUDIA"/>
        <s v="16. APORTE SOCIO CLAUDIA"/>
        <s v="18. CANC CREDITO GALICIA"/>
        <s v="22. COSTOS GANADEROS"/>
        <s v="09. PLAN DE PAGOS RENTAS CUOTA 2"/>
        <s v="19. AJUSTES"/>
        <s v="15. INGRESOS GANADEROS"/>
        <s v="21. INVERSIONES"/>
        <s v="19. CANC CREDITO MACRO USD"/>
        <m u="1"/>
        <s v="11. DEVOLUCIONES RAUL" u="1"/>
        <s v="14. UTILIDADES RAUL" u="1"/>
        <s v="15. TERCEROS" u="1"/>
        <s v="17. CANC CREDITO GALICIA" u="1"/>
        <s v="16. INGRESOS GANADEROS" u="1"/>
        <s v="16. APORTE SOCIO" u="1"/>
        <s v="10. SUELDOS" u="1"/>
        <s v="15. INGRESOS AGROPECUARIO" u="1"/>
        <s v="6. COMPENSATORIOS" u="1"/>
        <s v="5. GASTOS_ADM" u="1"/>
        <s v="4. SIN FACTURA 25" u="1"/>
        <s v="3. SIN FACTURA 24" u="1"/>
        <s v="7. CANC PRESTAMO 2023" u="1"/>
        <s v="9. PLAN DE PAGOS RENTAS CUOTA 2" u="1"/>
        <s v="8. CREDITOS" u="1"/>
        <s v="2. FACT PAGADAS 25" u="1"/>
        <s v="1. FACT PAGADAS 24" u="1"/>
        <s v="COMPENSATORIOS" u="1"/>
        <s v="GASTOS_ADM" u="1"/>
        <s v="DEVOLUCIONES RAUL" u="1"/>
        <s v="SUELDOS" u="1"/>
        <s v="UTILIDADES RAUL" u="1"/>
        <s v="FACT PAGADAS 25" u="1"/>
        <s v="SIN FACTURA 25" u="1"/>
        <s v="UTILIDADES CLAUDIA" u="1"/>
        <s v="SIN FACTURA 24" u="1"/>
        <s v="CANC PRESTAMO 2023" u="1"/>
        <s v="FACT PAGADAS 24" u="1"/>
        <s v="UTILIDADES MONICA" u="1"/>
        <s v="PLAN DE PAGOS RENTAS CUOTA 2" u="1"/>
        <s v="CREDITOS" u="1"/>
        <s v="SIN FACT 25" u="1"/>
        <s v="FUTURAS UTILIDADES MONICA" u="1"/>
        <s v="FUTURAS UTILIDADES" u="1"/>
        <s v="PLAN DE PAGOS RENTAS" u="1"/>
        <s v="SIN FACT 24" u="1"/>
        <s v="FACT PAGADA 24" u="1"/>
      </sharedItems>
    </cacheField>
    <cacheField name="SOCIO" numFmtId="0">
      <sharedItems containsBlank="1"/>
    </cacheField>
    <cacheField name="CAMPAÑA" numFmtId="0">
      <sharedItems containsBlank="1"/>
    </cacheField>
    <cacheField name="DEBITO" numFmtId="0">
      <sharedItems containsBlank="1"/>
    </cacheField>
    <cacheField name="CREDIT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3">
  <r>
    <x v="0"/>
    <d v="2025-01-03T00:00:00"/>
    <s v="PAMPA DIG TRF."/>
    <m/>
    <n v="3100000"/>
    <n v="0"/>
    <n v="-3100000"/>
    <m/>
    <n v="1140"/>
    <n v="2719.2982456140353"/>
    <n v="0"/>
    <s v="ARS"/>
    <s v="CC"/>
    <s v="PAMPA"/>
    <x v="0"/>
    <x v="0"/>
    <x v="0"/>
    <s v="HACIA CC MACRO"/>
    <m/>
    <m/>
    <x v="0"/>
    <m/>
    <s v="24/25"/>
    <m/>
    <m/>
  </r>
  <r>
    <x v="0"/>
    <d v="2025-01-03T00:00:00"/>
    <s v="PAMPA DIG TRF."/>
    <m/>
    <n v="1000000"/>
    <n v="0"/>
    <n v="-1000000"/>
    <n v="-4370577.21"/>
    <n v="1140"/>
    <n v="877.19298245614038"/>
    <n v="0"/>
    <s v="ARS"/>
    <s v="CC"/>
    <s v="PAMPA"/>
    <x v="0"/>
    <x v="0"/>
    <x v="0"/>
    <s v="HACIA CC MACRO"/>
    <m/>
    <m/>
    <x v="0"/>
    <m/>
    <s v="24/25"/>
    <m/>
    <m/>
  </r>
  <r>
    <x v="0"/>
    <d v="2025-01-08T00:00:00"/>
    <s v="IMP.DEB/CRED P/DEB."/>
    <m/>
    <n v="8728.74"/>
    <n v="0"/>
    <n v="-8728.74"/>
    <m/>
    <n v="1140"/>
    <n v="7.6567894736842099"/>
    <n v="0"/>
    <s v="ARS"/>
    <s v="CC"/>
    <s v="PAMPA"/>
    <x v="1"/>
    <x v="1"/>
    <x v="1"/>
    <s v="DEBITO IVA FISCAL"/>
    <m/>
    <m/>
    <x v="1"/>
    <m/>
    <s v="24/25"/>
    <s v="EGRESOS"/>
    <s v="EFECTIVO Y OTROS ACT LÍQ EQ."/>
  </r>
  <r>
    <x v="0"/>
    <d v="2025-01-08T00:00:00"/>
    <s v="PAMPA DIG TRF."/>
    <m/>
    <n v="200000"/>
    <n v="0"/>
    <n v="-200000"/>
    <m/>
    <n v="1140"/>
    <n v="175.43859649122808"/>
    <n v="0"/>
    <s v="ARS"/>
    <s v="CC"/>
    <s v="PAMPA"/>
    <x v="1"/>
    <x v="2"/>
    <x v="2"/>
    <s v="RETIRO EN CAJA "/>
    <s v="RAUL"/>
    <m/>
    <x v="2"/>
    <s v="RAUL"/>
    <s v="24/25"/>
    <s v="FUTURAS UT. ADL RAUL"/>
    <s v="EFECTIVO Y OTROS ACT LÍQ EQ."/>
  </r>
  <r>
    <x v="0"/>
    <d v="2025-01-08T00:00:00"/>
    <s v="PAMPA DIG TRF."/>
    <m/>
    <n v="812400"/>
    <n v="0"/>
    <n v="-812400"/>
    <m/>
    <n v="1140"/>
    <n v="712.63157894736844"/>
    <n v="0"/>
    <s v="ARS"/>
    <s v="CC"/>
    <s v="PAMPA"/>
    <x v="1"/>
    <x v="3"/>
    <x v="3"/>
    <s v="SUELO+EXTRA+%HAC"/>
    <s v="ANDRES TOLEDO"/>
    <m/>
    <x v="3"/>
    <m/>
    <s v="24/25"/>
    <s v="EGRESOS"/>
    <s v="EFECTIVO Y OTROS ACT LÍQ EQ."/>
  </r>
  <r>
    <x v="0"/>
    <d v="2025-01-08T00:00:00"/>
    <s v="PAMPA DIG TRF."/>
    <m/>
    <n v="442389.74"/>
    <n v="0"/>
    <n v="-442389.74"/>
    <m/>
    <n v="1140"/>
    <n v="388.06117543859648"/>
    <n v="0"/>
    <s v="ARS"/>
    <s v="CC"/>
    <s v="PAMPA"/>
    <x v="1"/>
    <x v="3"/>
    <x v="3"/>
    <s v="PERIODO DIC "/>
    <s v="KEVIN TOLEDO"/>
    <m/>
    <x v="3"/>
    <m/>
    <s v="24/25"/>
    <s v="EGRESOS"/>
    <s v="EFECTIVO Y OTROS ACT LÍQ EQ."/>
  </r>
  <r>
    <x v="0"/>
    <d v="2025-01-09T00:00:00"/>
    <s v="PAMPA DIG TRF."/>
    <m/>
    <n v="500000"/>
    <n v="0"/>
    <n v="-500000"/>
    <m/>
    <n v="1140"/>
    <n v="438.59649122807019"/>
    <n v="0"/>
    <s v="ARS"/>
    <s v="CC"/>
    <s v="PAMPA"/>
    <x v="0"/>
    <x v="0"/>
    <x v="0"/>
    <s v="HACIA EL MACRO"/>
    <m/>
    <m/>
    <x v="0"/>
    <m/>
    <s v="24/25"/>
    <m/>
    <m/>
  </r>
  <r>
    <x v="0"/>
    <d v="2025-01-10T00:00:00"/>
    <s v="IMP.DEB/CRED P/DEB."/>
    <m/>
    <n v="1800"/>
    <n v="0"/>
    <n v="-1800"/>
    <m/>
    <n v="1140"/>
    <n v="1.5789473684210527"/>
    <n v="0"/>
    <s v="ARS"/>
    <s v="CC"/>
    <s v="PAMPA"/>
    <x v="1"/>
    <x v="1"/>
    <x v="1"/>
    <s v="TASA GRAL"/>
    <m/>
    <m/>
    <x v="1"/>
    <m/>
    <s v="24/25"/>
    <s v="EGRESOS"/>
    <s v="EFECTIVO Y OTROS ACT LÍQ EQ."/>
  </r>
  <r>
    <x v="0"/>
    <d v="2025-01-10T00:00:00"/>
    <s v="PAMPA DIG TRF."/>
    <m/>
    <n v="300000"/>
    <n v="0"/>
    <n v="-300000"/>
    <n v="-6635895.6900000004"/>
    <n v="1140"/>
    <n v="263.15789473684208"/>
    <n v="0"/>
    <s v="ARS"/>
    <s v="CC"/>
    <s v="PAMPA"/>
    <x v="1"/>
    <x v="2"/>
    <x v="2"/>
    <s v="RETIRO RAUL"/>
    <s v="RAUL"/>
    <m/>
    <x v="2"/>
    <s v="RAUL"/>
    <s v="24/25"/>
    <s v="FUTURAS UT. ADL RAUL"/>
    <s v="EFECTIVO Y OTROS ACT LÍQ EQ."/>
  </r>
  <r>
    <x v="0"/>
    <d v="2025-01-16T00:00:00"/>
    <s v="PAMPA DIG TRF."/>
    <m/>
    <n v="500000"/>
    <n v="0"/>
    <n v="-500000"/>
    <n v="-7135895.6900000004"/>
    <n v="1140"/>
    <n v="438.59649122807019"/>
    <n v="0"/>
    <s v="ARS"/>
    <s v="CC"/>
    <s v="PAMPA"/>
    <x v="0"/>
    <x v="0"/>
    <x v="0"/>
    <s v="HACIA EL MACRO"/>
    <m/>
    <m/>
    <x v="0"/>
    <m/>
    <s v="24/25"/>
    <m/>
    <m/>
  </r>
  <r>
    <x v="0"/>
    <d v="2025-01-17T00:00:00"/>
    <s v="PAMPA DIG TRF."/>
    <m/>
    <n v="600000"/>
    <n v="0"/>
    <n v="-600000"/>
    <n v="-7735895.6900000004"/>
    <n v="1140"/>
    <n v="526.31578947368416"/>
    <n v="0"/>
    <s v="ARS"/>
    <s v="CC"/>
    <s v="PAMPA"/>
    <x v="0"/>
    <x v="0"/>
    <x v="0"/>
    <s v="HACIA EL MACRO"/>
    <m/>
    <m/>
    <x v="0"/>
    <m/>
    <s v="24/25"/>
    <m/>
    <m/>
  </r>
  <r>
    <x v="0"/>
    <d v="2025-01-20T00:00:00"/>
    <s v="PAMPA DIG TRF."/>
    <m/>
    <n v="401128"/>
    <n v="0"/>
    <n v="-401128"/>
    <m/>
    <n v="1140"/>
    <n v="351.86666666666667"/>
    <n v="0"/>
    <s v="ARS"/>
    <s v="CC"/>
    <s v="PAMPA"/>
    <x v="2"/>
    <x v="4"/>
    <x v="4"/>
    <s v="HONORARIOS"/>
    <s v="CESAR DIAZ"/>
    <m/>
    <x v="4"/>
    <m/>
    <s v="24/25"/>
    <s v="BIENES Y SERVICIOS"/>
    <s v="EFECTIVO Y OTROS ACT LÍQ EQ."/>
  </r>
  <r>
    <x v="0"/>
    <d v="2025-01-20T00:00:00"/>
    <s v="PAMPA DIG TRF."/>
    <m/>
    <n v="106049.79"/>
    <n v="0"/>
    <n v="-106049.79"/>
    <m/>
    <n v="1140"/>
    <n v="93.026131578947357"/>
    <n v="0"/>
    <s v="ARS"/>
    <s v="CC"/>
    <s v="PAMPA"/>
    <x v="1"/>
    <x v="2"/>
    <x v="2"/>
    <s v="PAGO TELEFONO "/>
    <s v="RAUL"/>
    <m/>
    <x v="2"/>
    <s v="RAUL"/>
    <s v="24/25"/>
    <s v="FUTURAS UT. ADL RAUL"/>
    <s v="EFECTIVO Y OTROS ACT LÍQ EQ."/>
  </r>
  <r>
    <x v="0"/>
    <d v="2025-01-20T00:00:00"/>
    <s v="PAMPA DIG TRF."/>
    <m/>
    <n v="400000"/>
    <n v="0"/>
    <n v="-400000"/>
    <m/>
    <n v="1140"/>
    <n v="350.87719298245617"/>
    <n v="0"/>
    <s v="ARS"/>
    <s v="CC"/>
    <s v="PAMPA"/>
    <x v="2"/>
    <x v="4"/>
    <x v="5"/>
    <s v="DESYUYADOR"/>
    <s v="ALDO DIAZ"/>
    <m/>
    <x v="5"/>
    <m/>
    <s v="24/25"/>
    <s v="BIENES Y SERVICIOS"/>
    <s v="EFECTIVO Y OTROS ACT LÍQ EQ."/>
  </r>
  <r>
    <x v="0"/>
    <d v="2025-01-20T00:00:00"/>
    <s v="PAMPA DIG TRF."/>
    <m/>
    <n v="200000"/>
    <n v="0"/>
    <n v="-200000"/>
    <m/>
    <n v="1140"/>
    <n v="175.43859649122808"/>
    <n v="0"/>
    <s v="ARS"/>
    <s v="CC"/>
    <s v="PAMPA"/>
    <x v="0"/>
    <x v="0"/>
    <x v="0"/>
    <s v="HACIA EL MACRO"/>
    <m/>
    <m/>
    <x v="0"/>
    <m/>
    <s v="24/25"/>
    <m/>
    <m/>
  </r>
  <r>
    <x v="0"/>
    <d v="2025-01-20T00:00:00"/>
    <s v="PAMPA DIG TRF."/>
    <m/>
    <n v="1100000"/>
    <n v="0"/>
    <n v="-1100000"/>
    <m/>
    <n v="1140"/>
    <n v="964.91228070175441"/>
    <n v="0"/>
    <s v="ARS"/>
    <s v="CC"/>
    <s v="PAMPA"/>
    <x v="0"/>
    <x v="0"/>
    <x v="0"/>
    <s v="HACIA EL MACRO"/>
    <m/>
    <m/>
    <x v="0"/>
    <m/>
    <s v="24/25"/>
    <m/>
    <m/>
  </r>
  <r>
    <x v="0"/>
    <d v="2025-01-20T00:00:00"/>
    <s v="IMP.DEB/CRED P/DEB."/>
    <m/>
    <n v="5443.07"/>
    <n v="0"/>
    <n v="-5443.07"/>
    <n v="-9948516.5500000007"/>
    <n v="1140"/>
    <n v="4.7746228070175434"/>
    <n v="0"/>
    <s v="ARS"/>
    <s v="CC"/>
    <s v="PAMPA"/>
    <x v="1"/>
    <x v="1"/>
    <x v="1"/>
    <s v="TASA GRAL"/>
    <m/>
    <m/>
    <x v="1"/>
    <m/>
    <s v="24/25"/>
    <s v="EGRESOS"/>
    <s v="EFECTIVO Y OTROS ACT LÍQ EQ."/>
  </r>
  <r>
    <x v="0"/>
    <d v="2025-01-23T00:00:00"/>
    <s v="TRANSF. MACRONLINE E-SET M/T"/>
    <m/>
    <n v="0"/>
    <n v="10000000"/>
    <n v="10000000"/>
    <n v="51483.45"/>
    <n v="1140"/>
    <n v="0"/>
    <n v="8771.9298245614027"/>
    <s v="ARS"/>
    <s v="CC"/>
    <s v="PAMPA"/>
    <x v="0"/>
    <x v="0"/>
    <x v="0"/>
    <s v="DESDE EL MACR"/>
    <m/>
    <m/>
    <x v="0"/>
    <m/>
    <s v="24/25"/>
    <m/>
    <m/>
  </r>
  <r>
    <x v="0"/>
    <d v="2025-01-29T00:00:00"/>
    <s v="PAMPA DIG TRF."/>
    <m/>
    <n v="236100"/>
    <n v="0"/>
    <n v="-236100"/>
    <m/>
    <n v="1140"/>
    <n v="207.10526315789474"/>
    <n v="0"/>
    <s v="ARS"/>
    <s v="CC"/>
    <s v="PAMPA"/>
    <x v="3"/>
    <x v="5"/>
    <x v="6"/>
    <s v="VESTIMENTA CAMPO"/>
    <s v="HUINCAGRO"/>
    <s v="FA625"/>
    <x v="4"/>
    <m/>
    <s v="24/25"/>
    <s v="BIENES Y SERVICIOS"/>
    <s v="EFECTIVO Y OTROS ACT LÍQ EQ."/>
  </r>
  <r>
    <x v="0"/>
    <d v="2025-01-29T00:00:00"/>
    <s v="PAMPA DIG TRF."/>
    <m/>
    <n v="750000"/>
    <n v="0"/>
    <n v="-750000"/>
    <m/>
    <n v="1140"/>
    <n v="657.89473684210532"/>
    <n v="0"/>
    <s v="ARS"/>
    <s v="CC"/>
    <s v="PAMPA"/>
    <x v="3"/>
    <x v="5"/>
    <x v="7"/>
    <s v="PINTADA DE PILETA"/>
    <s v="DARIO RODRIGUEZ"/>
    <s v="FA22"/>
    <x v="6"/>
    <m/>
    <s v="25/26"/>
    <s v="BIENES Y SERVICIOS"/>
    <s v="EFECTIVO Y OTROS ACT LÍQ EQ."/>
  </r>
  <r>
    <x v="0"/>
    <d v="2025-01-29T00:00:00"/>
    <s v="PAMPA DIG TRF."/>
    <m/>
    <n v="1000000"/>
    <n v="0"/>
    <n v="-1000000"/>
    <m/>
    <n v="1140"/>
    <n v="877.19298245614038"/>
    <n v="0"/>
    <s v="ARS"/>
    <s v="CC"/>
    <s v="PAMPA"/>
    <x v="1"/>
    <x v="2"/>
    <x v="2"/>
    <s v="FUT UTILIDADES ENERO"/>
    <s v="CLAUDIA ERRECALDE"/>
    <m/>
    <x v="2"/>
    <s v="CLAUDIA"/>
    <s v="24/25"/>
    <s v="FUTURAS UT. ADL CLAUDIA"/>
    <s v="EFECTIVO Y OTROS ACT LÍQ EQ."/>
  </r>
  <r>
    <x v="0"/>
    <d v="2025-01-29T00:00:00"/>
    <s v="IMP.DEB/CRED P/DEB."/>
    <m/>
    <n v="11916.6"/>
    <n v="0"/>
    <n v="-11916.6"/>
    <n v="-1946533.15"/>
    <n v="1140"/>
    <n v="10.453157894736842"/>
    <n v="0"/>
    <s v="ARS"/>
    <s v="CC"/>
    <s v="PAMPA"/>
    <x v="1"/>
    <x v="1"/>
    <x v="1"/>
    <s v="TASA GRAL"/>
    <m/>
    <m/>
    <x v="1"/>
    <m/>
    <s v="24/25"/>
    <s v="EGRESOS"/>
    <s v="EFECTIVO Y OTROS ACT LÍQ EQ."/>
  </r>
  <r>
    <x v="0"/>
    <d v="2025-01-31T00:00:00"/>
    <s v="IVA PERCEPC.ALIC.RED"/>
    <m/>
    <n v="2827.37"/>
    <n v="0"/>
    <n v="-2827.37"/>
    <m/>
    <n v="1140"/>
    <n v="2.4801491228070174"/>
    <n v="0"/>
    <s v="ARS"/>
    <s v="CC"/>
    <s v="PAMPA"/>
    <x v="1"/>
    <x v="1"/>
    <x v="1"/>
    <s v="IVA PERCEPCION"/>
    <m/>
    <m/>
    <x v="1"/>
    <m/>
    <s v="24/25"/>
    <s v="EGRESOS"/>
    <s v="EFECTIVO Y OTROS ACT LÍQ EQ."/>
  </r>
  <r>
    <x v="0"/>
    <d v="2025-01-31T00:00:00"/>
    <s v="INTERESES ACUERDOS"/>
    <m/>
    <n v="188491.31"/>
    <n v="0"/>
    <n v="-188491.31"/>
    <m/>
    <n v="1140"/>
    <n v="165.34325438596491"/>
    <n v="0"/>
    <s v="ARS"/>
    <s v="CC"/>
    <s v="PAMPA"/>
    <x v="1"/>
    <x v="6"/>
    <x v="8"/>
    <m/>
    <m/>
    <m/>
    <x v="1"/>
    <m/>
    <s v="24/25"/>
    <s v="EGRESOS"/>
    <s v="EFECTIVO Y OTROS ACT LÍQ EQ."/>
  </r>
  <r>
    <x v="0"/>
    <d v="2025-01-31T00:00:00"/>
    <s v="IMP.DEB/CRED P/DEB."/>
    <m/>
    <n v="1528.72"/>
    <n v="0"/>
    <n v="-1528.72"/>
    <m/>
    <n v="1140"/>
    <n v="1.3409824561403509"/>
    <n v="0"/>
    <s v="ARS"/>
    <s v="CC"/>
    <s v="PAMPA"/>
    <x v="1"/>
    <x v="1"/>
    <x v="1"/>
    <s v="DEBITO IVA FISCAL"/>
    <m/>
    <m/>
    <x v="1"/>
    <m/>
    <s v="24/25"/>
    <s v="EGRESOS"/>
    <s v="EFECTIVO Y OTROS ACT LÍQ EQ."/>
  </r>
  <r>
    <x v="0"/>
    <d v="2025-01-31T00:00:00"/>
    <s v="IVA REDUCCION 10,5%"/>
    <m/>
    <n v="19791.59"/>
    <n v="0"/>
    <n v="-19791.59"/>
    <m/>
    <n v="1140"/>
    <n v="17.361043859649122"/>
    <n v="0"/>
    <s v="ARS"/>
    <s v="CC"/>
    <s v="PAMPA"/>
    <x v="1"/>
    <x v="1"/>
    <x v="1"/>
    <s v="IVA REDUCCION"/>
    <m/>
    <m/>
    <x v="1"/>
    <m/>
    <s v="24/25"/>
    <s v="EGRESOS"/>
    <s v="EFECTIVO Y OTROS ACT LÍQ EQ."/>
  </r>
  <r>
    <x v="0"/>
    <d v="2025-01-31T00:00:00"/>
    <s v="IVA"/>
    <m/>
    <n v="6615"/>
    <n v="0"/>
    <n v="-6615"/>
    <m/>
    <n v="1140"/>
    <n v="5.8026315789473681"/>
    <n v="0"/>
    <s v="ARS"/>
    <s v="CC"/>
    <s v="PAMPA"/>
    <x v="1"/>
    <x v="1"/>
    <x v="1"/>
    <s v="DEBITO IVA FISCAL"/>
    <m/>
    <m/>
    <x v="1"/>
    <m/>
    <s v="24/25"/>
    <s v="EGRESOS"/>
    <s v="EFECTIVO Y OTROS ACT LÍQ EQ."/>
  </r>
  <r>
    <x v="0"/>
    <d v="2025-01-31T00:00:00"/>
    <s v="IMP.SELLOS"/>
    <m/>
    <n v="4616.1000000000004"/>
    <n v="0"/>
    <n v="-4616.1000000000004"/>
    <m/>
    <n v="1140"/>
    <n v="4.0492105263157896"/>
    <n v="0"/>
    <s v="ARS"/>
    <s v="CC"/>
    <s v="PAMPA"/>
    <x v="1"/>
    <x v="1"/>
    <x v="1"/>
    <s v="SELLOS"/>
    <m/>
    <m/>
    <x v="1"/>
    <m/>
    <s v="24/25"/>
    <s v="EGRESOS"/>
    <s v="EFECTIVO Y OTROS ACT LÍQ EQ."/>
  </r>
  <r>
    <x v="0"/>
    <d v="2025-01-31T00:00:00"/>
    <s v="COM. MANTENIMIENTO DE CUENTA"/>
    <m/>
    <n v="31500"/>
    <n v="0"/>
    <n v="-31500"/>
    <m/>
    <n v="1140"/>
    <n v="27.631578947368421"/>
    <n v="0"/>
    <s v="ARS"/>
    <s v="CC"/>
    <s v="PAMPA"/>
    <x v="1"/>
    <x v="7"/>
    <x v="9"/>
    <m/>
    <m/>
    <m/>
    <x v="1"/>
    <m/>
    <s v="24/25"/>
    <s v="EGRESOS"/>
    <s v="EFECTIVO Y OTROS ACT LÍQ EQ."/>
  </r>
  <r>
    <x v="0"/>
    <d v="2025-01-31T00:00:00"/>
    <s v="IVA PERCEPCION"/>
    <m/>
    <n v="945"/>
    <n v="0"/>
    <n v="-945"/>
    <m/>
    <n v="1140"/>
    <n v="0.82894736842105265"/>
    <n v="0"/>
    <s v="ARS"/>
    <s v="CC"/>
    <s v="PAMPA"/>
    <x v="1"/>
    <x v="1"/>
    <x v="1"/>
    <s v="IVA PERCEPCION"/>
    <m/>
    <m/>
    <x v="1"/>
    <m/>
    <s v="24/25"/>
    <s v="EGRESOS"/>
    <s v="EFECTIVO Y OTROS ACT LÍQ EQ."/>
  </r>
  <r>
    <x v="1"/>
    <d v="2025-02-05T00:00:00"/>
    <s v="IMP.DEB/CRED P/DEB."/>
    <m/>
    <n v="2681.47"/>
    <n v="0"/>
    <n v="-2681.47"/>
    <m/>
    <n v="1140"/>
    <n v="2.3521666666666663"/>
    <n v="0"/>
    <s v="ARS"/>
    <s v="CC"/>
    <s v="PAMPA"/>
    <x v="1"/>
    <x v="1"/>
    <x v="1"/>
    <s v="DEBITO IVA FISCAL"/>
    <m/>
    <m/>
    <x v="1"/>
    <m/>
    <s v="24/25"/>
    <s v="EGRESOS"/>
    <s v="EFECTIVO Y OTROS ACT LÍQ EQ."/>
  </r>
  <r>
    <x v="1"/>
    <d v="2025-02-05T00:00:00"/>
    <s v="PAMPA DIG TRF."/>
    <m/>
    <n v="446912.35"/>
    <n v="0"/>
    <n v="-446912.35"/>
    <n v="-2652442.06"/>
    <n v="1140"/>
    <n v="392.02837719298242"/>
    <n v="0"/>
    <s v="ARS"/>
    <s v="CC"/>
    <s v="PAMPA"/>
    <x v="1"/>
    <x v="3"/>
    <x v="3"/>
    <s v="PERIODO ENERO25"/>
    <s v="KEVIN TOLEDO"/>
    <m/>
    <x v="3"/>
    <m/>
    <s v="24/25"/>
    <s v="EGRESOS"/>
    <s v="EFECTIVO Y OTROS ACT LÍQ EQ."/>
  </r>
  <r>
    <x v="1"/>
    <d v="2025-02-10T00:00:00"/>
    <s v="IMP.DEB/CRED P/DEB."/>
    <m/>
    <n v="1566.61"/>
    <n v="0"/>
    <n v="-1566.61"/>
    <m/>
    <n v="1140"/>
    <n v="1.3742192982456138"/>
    <n v="0"/>
    <s v="ARS"/>
    <s v="CC"/>
    <s v="PAMPA"/>
    <x v="1"/>
    <x v="1"/>
    <x v="1"/>
    <s v="DEBITO IVA FISCAL"/>
    <m/>
    <m/>
    <x v="1"/>
    <m/>
    <s v="24/25"/>
    <s v="EGRESOS"/>
    <s v="EFECTIVO Y OTROS ACT LÍQ EQ."/>
  </r>
  <r>
    <x v="1"/>
    <d v="2025-02-10T00:00:00"/>
    <s v="PAMPA DIG TRF."/>
    <m/>
    <n v="3000000"/>
    <n v="0"/>
    <n v="-3000000"/>
    <m/>
    <n v="1140"/>
    <n v="2631.5789473684213"/>
    <n v="0"/>
    <s v="ARS"/>
    <s v="CC"/>
    <s v="PAMPA"/>
    <x v="0"/>
    <x v="0"/>
    <x v="0"/>
    <m/>
    <m/>
    <m/>
    <x v="0"/>
    <m/>
    <s v="24/25"/>
    <m/>
    <m/>
  </r>
  <r>
    <x v="1"/>
    <d v="2025-02-10T00:00:00"/>
    <s v="PAMPA DIG TRF."/>
    <m/>
    <n v="3100"/>
    <n v="0"/>
    <n v="-3100"/>
    <m/>
    <n v="1140"/>
    <n v="2.7192982456140351"/>
    <n v="0"/>
    <s v="ARS"/>
    <s v="CC"/>
    <s v="PAMPA"/>
    <x v="1"/>
    <x v="3"/>
    <x v="10"/>
    <s v="CABLE CARGADOR"/>
    <s v="MATIAS LUCERO"/>
    <m/>
    <x v="3"/>
    <m/>
    <s v="24/25"/>
    <s v="EGRESOS"/>
    <s v="EFECTIVO Y OTROS ACT LÍQ EQ."/>
  </r>
  <r>
    <x v="1"/>
    <d v="2025-02-10T00:00:00"/>
    <s v="PAMPA DIG TRF."/>
    <m/>
    <n v="80000"/>
    <n v="0"/>
    <n v="-80000"/>
    <m/>
    <n v="1140"/>
    <n v="70.175438596491233"/>
    <n v="0"/>
    <s v="ARS"/>
    <s v="CC"/>
    <s v="PAMPA"/>
    <x v="3"/>
    <x v="8"/>
    <x v="11"/>
    <s v="ESPEJO RETROVISOR"/>
    <m/>
    <m/>
    <x v="7"/>
    <m/>
    <s v="24/25"/>
    <s v="EGRESOS"/>
    <s v="EFECTIVO Y OTROS ACT LÍQ EQ."/>
  </r>
  <r>
    <x v="1"/>
    <d v="2025-02-10T00:00:00"/>
    <s v="PAMPA DIG TRF."/>
    <m/>
    <n v="40000"/>
    <n v="0"/>
    <n v="-40000"/>
    <m/>
    <n v="1140"/>
    <n v="35.087719298245617"/>
    <n v="0"/>
    <s v="ARS"/>
    <s v="CC"/>
    <s v="PAMPA"/>
    <x v="3"/>
    <x v="8"/>
    <x v="11"/>
    <s v="LAVADO"/>
    <m/>
    <m/>
    <x v="7"/>
    <m/>
    <s v="24/25"/>
    <s v="EGRESOS"/>
    <s v="EFECTIVO Y OTROS ACT LÍQ EQ."/>
  </r>
  <r>
    <x v="1"/>
    <d v="2025-02-10T00:00:00"/>
    <s v="PAMPA DIG TRF."/>
    <m/>
    <n v="30000"/>
    <n v="0"/>
    <n v="-30000"/>
    <m/>
    <n v="1140"/>
    <n v="26.315789473684209"/>
    <n v="0"/>
    <s v="ARS"/>
    <s v="CC"/>
    <s v="PAMPA"/>
    <x v="4"/>
    <x v="9"/>
    <x v="12"/>
    <m/>
    <s v="NORMA TOLEDO"/>
    <m/>
    <x v="1"/>
    <m/>
    <s v="24/25"/>
    <s v="EGRESOS"/>
    <s v="EFECTIVO Y OTROS ACT LÍQ EQ."/>
  </r>
  <r>
    <x v="1"/>
    <d v="2025-02-10T00:00:00"/>
    <s v="PAMPA DIG TRF."/>
    <m/>
    <n v="8001.35"/>
    <n v="0"/>
    <n v="-8001.35"/>
    <m/>
    <n v="1140"/>
    <n v="7.0187280701754391"/>
    <n v="0"/>
    <s v="ARS"/>
    <s v="CC"/>
    <s v="PAMPA"/>
    <x v="1"/>
    <x v="3"/>
    <x v="3"/>
    <s v="RESTO SUELDO"/>
    <s v="ANDRES TOLEDO"/>
    <m/>
    <x v="3"/>
    <m/>
    <s v="24/25"/>
    <s v="EGRESOS"/>
    <s v="EFECTIVO Y OTROS ACT LÍQ EQ."/>
  </r>
  <r>
    <x v="1"/>
    <d v="2025-02-10T00:00:00"/>
    <s v="PAMPA DIG TRF."/>
    <m/>
    <n v="100000"/>
    <n v="0"/>
    <n v="-100000"/>
    <n v="-5915109.6699999999"/>
    <n v="1140"/>
    <n v="87.719298245614041"/>
    <n v="0"/>
    <s v="ARS"/>
    <s v="CC"/>
    <s v="PAMPA"/>
    <x v="1"/>
    <x v="3"/>
    <x v="13"/>
    <s v="JORNALES"/>
    <s v="MATIAS LUCERO"/>
    <m/>
    <x v="3"/>
    <m/>
    <s v="24/25"/>
    <s v="EGRESOS"/>
    <s v="EFECTIVO Y OTROS ACT LÍQ EQ."/>
  </r>
  <r>
    <x v="1"/>
    <d v="2025-02-12T00:00:00"/>
    <s v="IMP.DEB/CRED P/DEB."/>
    <m/>
    <n v="2880.44"/>
    <n v="0"/>
    <n v="-2880.44"/>
    <m/>
    <n v="1140"/>
    <n v="2.5267017543859649"/>
    <n v="0"/>
    <s v="ARS"/>
    <s v="CC"/>
    <s v="PAMPA"/>
    <x v="1"/>
    <x v="1"/>
    <x v="1"/>
    <s v="DEBITO IVA FISCAL"/>
    <m/>
    <m/>
    <x v="1"/>
    <m/>
    <s v="24/25"/>
    <s v="EGRESOS"/>
    <s v="EFECTIVO Y OTROS ACT LÍQ EQ."/>
  </r>
  <r>
    <x v="1"/>
    <d v="2025-02-12T00:00:00"/>
    <s v="PAMPA DIG TRF."/>
    <m/>
    <n v="476800"/>
    <n v="0"/>
    <n v="-476800"/>
    <m/>
    <n v="1140"/>
    <n v="418.24561403508773"/>
    <n v="0"/>
    <s v="ARS"/>
    <s v="CC"/>
    <s v="PAMPA"/>
    <x v="1"/>
    <x v="3"/>
    <x v="3"/>
    <s v="SUELDO+EXTRA"/>
    <s v="ANDRES TOLEDO"/>
    <m/>
    <x v="3"/>
    <m/>
    <s v="24/25"/>
    <s v="EGRESOS"/>
    <s v="EFECTIVO Y OTROS ACT LÍQ EQ."/>
  </r>
  <r>
    <x v="1"/>
    <d v="2025-02-12T00:00:00"/>
    <s v="PAMPA DIG TRF."/>
    <m/>
    <n v="3273"/>
    <n v="0"/>
    <n v="-3273"/>
    <n v="-6398063.1100000003"/>
    <n v="1140"/>
    <n v="2.8710526315789475"/>
    <n v="0"/>
    <s v="ARS"/>
    <s v="CC"/>
    <s v="PAMPA"/>
    <x v="1"/>
    <x v="3"/>
    <x v="3"/>
    <s v="SEGURO"/>
    <s v="COLO BUSTOS"/>
    <m/>
    <x v="3"/>
    <m/>
    <s v="24/25"/>
    <s v="BIENES Y SERVICIOS"/>
    <s v="EFECTIVO Y OTROS ACT LÍQ EQ."/>
  </r>
  <r>
    <x v="1"/>
    <d v="2025-02-14T00:00:00"/>
    <s v="PAMPA DIG TRF."/>
    <m/>
    <n v="2000000"/>
    <n v="0"/>
    <n v="-2000000"/>
    <n v="-8398063.1099999994"/>
    <n v="1140"/>
    <n v="1754.3859649122808"/>
    <n v="0"/>
    <s v="ARS"/>
    <s v="CC"/>
    <s v="PAMPA"/>
    <x v="0"/>
    <x v="0"/>
    <x v="0"/>
    <s v="HACIA EL MACRO"/>
    <m/>
    <m/>
    <x v="0"/>
    <m/>
    <s v="24/25"/>
    <m/>
    <m/>
  </r>
  <r>
    <x v="1"/>
    <d v="2025-02-24T00:00:00"/>
    <s v="PAMPA DIG TRF."/>
    <m/>
    <n v="500000"/>
    <n v="0"/>
    <n v="-500000"/>
    <n v="-8898063.1099999994"/>
    <n v="1140"/>
    <n v="438.59649122807019"/>
    <n v="0"/>
    <s v="ARS"/>
    <s v="CC"/>
    <s v="PAMPA"/>
    <x v="0"/>
    <x v="0"/>
    <x v="0"/>
    <s v="HACIA EL MACRO"/>
    <m/>
    <m/>
    <x v="0"/>
    <m/>
    <s v="24/25"/>
    <m/>
    <m/>
  </r>
  <r>
    <x v="1"/>
    <d v="2025-02-25T00:00:00"/>
    <s v="IMP.DEB/CRED P/DEB."/>
    <m/>
    <n v="4804.8599999999997"/>
    <n v="0"/>
    <n v="-4804.8599999999997"/>
    <m/>
    <n v="1140"/>
    <n v="4.2147894736842106"/>
    <n v="0"/>
    <s v="ARS"/>
    <s v="CC"/>
    <s v="PAMPA"/>
    <x v="1"/>
    <x v="1"/>
    <x v="1"/>
    <s v="TASA GRAL"/>
    <m/>
    <m/>
    <x v="1"/>
    <m/>
    <s v="24/25"/>
    <s v="EGRESOS"/>
    <s v="EFECTIVO Y OTROS ACT LÍQ EQ."/>
  </r>
  <r>
    <x v="1"/>
    <d v="2025-02-25T00:00:00"/>
    <s v="PAMPA DIG TRF."/>
    <m/>
    <n v="390000"/>
    <n v="0"/>
    <n v="-390000"/>
    <m/>
    <n v="1140"/>
    <n v="342.10526315789474"/>
    <n v="0"/>
    <s v="ARS"/>
    <s v="CC"/>
    <s v="PAMPA"/>
    <x v="1"/>
    <x v="3"/>
    <x v="13"/>
    <s v="SERVICIO A CAMPO"/>
    <s v="COLO BUSTOS"/>
    <m/>
    <x v="3"/>
    <m/>
    <s v="24/25"/>
    <s v="BIENES Y SERVICIOS"/>
    <s v="EFECTIVO Y OTROS ACT LÍQ EQ."/>
  </r>
  <r>
    <x v="1"/>
    <d v="2025-02-25T00:00:00"/>
    <s v="PAMPA DIG TRF."/>
    <m/>
    <n v="410810"/>
    <n v="0"/>
    <n v="-410810"/>
    <n v="-9703677.9700000007"/>
    <n v="1140"/>
    <n v="360.35964912280701"/>
    <n v="0"/>
    <s v="ARS"/>
    <s v="CC"/>
    <s v="PAMPA"/>
    <x v="2"/>
    <x v="4"/>
    <x v="4"/>
    <s v="HONORARIOS"/>
    <s v="CESAR DIAZ"/>
    <s v="FA38"/>
    <x v="6"/>
    <m/>
    <s v="24/25"/>
    <s v="BIENES Y SERVICIOS"/>
    <s v="EFECTIVO Y OTROS ACT LÍQ EQ."/>
  </r>
  <r>
    <x v="1"/>
    <d v="2025-02-28T00:00:00"/>
    <s v="IVA PERCEPC.ALIC.RED"/>
    <m/>
    <n v="3422.05"/>
    <n v="0"/>
    <n v="-3422.05"/>
    <m/>
    <n v="1140"/>
    <n v="3.0017982456140353"/>
    <n v="0"/>
    <s v="ARS"/>
    <s v="CC"/>
    <s v="PAMPA"/>
    <x v="1"/>
    <x v="1"/>
    <x v="1"/>
    <s v="IVA PERCEPCION"/>
    <m/>
    <m/>
    <x v="1"/>
    <m/>
    <s v="24/25"/>
    <s v="EGRESOS"/>
    <s v="EFECTIVO Y OTROS ACT LÍQ EQ."/>
  </r>
  <r>
    <x v="1"/>
    <d v="2025-02-28T00:00:00"/>
    <s v="INTERESES ACUERDOS"/>
    <m/>
    <n v="228136.62"/>
    <n v="0"/>
    <n v="-228136.62"/>
    <m/>
    <n v="1140"/>
    <n v="200.11984210526316"/>
    <n v="0"/>
    <s v="ARS"/>
    <s v="CC"/>
    <s v="PAMPA"/>
    <x v="1"/>
    <x v="6"/>
    <x v="8"/>
    <m/>
    <m/>
    <m/>
    <x v="1"/>
    <m/>
    <s v="24/25"/>
    <s v="EGRESOS"/>
    <s v="EFECTIVO Y OTROS ACT LÍQ EQ."/>
  </r>
  <r>
    <x v="1"/>
    <d v="2025-02-28T00:00:00"/>
    <s v="IMP.DEB/CRED P/DEB."/>
    <m/>
    <n v="1802.63"/>
    <n v="0"/>
    <n v="-1802.63"/>
    <m/>
    <n v="1140"/>
    <n v="1.5812543859649124"/>
    <n v="0"/>
    <s v="ARS"/>
    <s v="CC"/>
    <s v="PAMPA"/>
    <x v="1"/>
    <x v="1"/>
    <x v="1"/>
    <s v="DEBITO IVA FISCAL"/>
    <m/>
    <m/>
    <x v="1"/>
    <m/>
    <s v="24/25"/>
    <s v="EGRESOS"/>
    <s v="EFECTIVO Y OTROS ACT LÍQ EQ."/>
  </r>
  <r>
    <x v="1"/>
    <d v="2025-02-28T00:00:00"/>
    <s v="IVA REDUCCION 10,5%"/>
    <m/>
    <n v="23954.35"/>
    <n v="0"/>
    <n v="-23954.35"/>
    <m/>
    <n v="1140"/>
    <n v="21.012587719298246"/>
    <n v="0"/>
    <s v="ARS"/>
    <s v="CC"/>
    <s v="PAMPA"/>
    <x v="1"/>
    <x v="1"/>
    <x v="1"/>
    <s v="IVA REDUCCION"/>
    <m/>
    <m/>
    <x v="1"/>
    <m/>
    <s v="24/25"/>
    <s v="EGRESOS"/>
    <s v="EFECTIVO Y OTROS ACT LÍQ EQ."/>
  </r>
  <r>
    <x v="1"/>
    <d v="2025-02-28T00:00:00"/>
    <s v="IVA"/>
    <m/>
    <n v="6615"/>
    <n v="0"/>
    <n v="-6615"/>
    <m/>
    <n v="1140"/>
    <n v="5.8026315789473681"/>
    <n v="0"/>
    <s v="ARS"/>
    <s v="CC"/>
    <s v="PAMPA"/>
    <x v="1"/>
    <x v="1"/>
    <x v="1"/>
    <s v="DEBITO IVA FISCAL"/>
    <m/>
    <m/>
    <x v="1"/>
    <m/>
    <s v="24/25"/>
    <s v="EGRESOS"/>
    <s v="EFECTIVO Y OTROS ACT LÍQ EQ."/>
  </r>
  <r>
    <x v="1"/>
    <d v="2025-02-28T00:00:00"/>
    <s v="IMP.SELLOS"/>
    <m/>
    <n v="5864.99"/>
    <n v="0"/>
    <n v="-5864.99"/>
    <m/>
    <n v="1140"/>
    <n v="5.1447280701754385"/>
    <n v="0"/>
    <s v="ARS"/>
    <s v="CC"/>
    <s v="PAMPA"/>
    <x v="1"/>
    <x v="1"/>
    <x v="1"/>
    <s v="SELLOS"/>
    <m/>
    <m/>
    <x v="1"/>
    <m/>
    <s v="24/25"/>
    <s v="EGRESOS"/>
    <s v="EFECTIVO Y OTROS ACT LÍQ EQ."/>
  </r>
  <r>
    <x v="1"/>
    <d v="2025-02-28T00:00:00"/>
    <s v="COM. MANTENIMIENTO DE CUENTA"/>
    <m/>
    <n v="31500"/>
    <n v="0"/>
    <n v="-31500"/>
    <m/>
    <n v="1140"/>
    <n v="27.631578947368421"/>
    <n v="0"/>
    <s v="ARS"/>
    <s v="CC"/>
    <s v="PAMPA"/>
    <x v="1"/>
    <x v="7"/>
    <x v="9"/>
    <m/>
    <m/>
    <m/>
    <x v="1"/>
    <m/>
    <s v="24/25"/>
    <s v="EGRESOS"/>
    <s v="EFECTIVO Y OTROS ACT LÍQ EQ."/>
  </r>
  <r>
    <x v="1"/>
    <d v="2025-02-28T00:00:00"/>
    <s v="IVA PERCEPCION"/>
    <m/>
    <n v="945"/>
    <n v="0"/>
    <n v="-945"/>
    <m/>
    <n v="1140"/>
    <n v="0.82894736842105265"/>
    <n v="0"/>
    <s v="ARS"/>
    <s v="CC"/>
    <s v="PAMPA"/>
    <x v="1"/>
    <x v="1"/>
    <x v="1"/>
    <s v="TASA GRAL"/>
    <m/>
    <m/>
    <x v="1"/>
    <m/>
    <s v="24/25"/>
    <s v="EGRESOS"/>
    <s v="EFECTIVO Y OTROS ACT LÍQ EQ."/>
  </r>
  <r>
    <x v="2"/>
    <d v="2025-03-05T00:00:00"/>
    <s v="PAMPA DIG TRF."/>
    <m/>
    <n v="290000"/>
    <n v="0"/>
    <n v="-290000"/>
    <m/>
    <n v="1140"/>
    <n v="254.38596491228071"/>
    <n v="0"/>
    <s v="ARS"/>
    <s v="CC"/>
    <s v="PAMPA"/>
    <x v="0"/>
    <x v="0"/>
    <x v="0"/>
    <s v="HACIA EL MACRO"/>
    <m/>
    <m/>
    <x v="0"/>
    <m/>
    <s v="24/25"/>
    <m/>
    <m/>
  </r>
  <r>
    <x v="2"/>
    <d v="2025-03-11T00:00:00"/>
    <s v="TRF.POR CAJ.AUT./HB - 20164045693-ERRECALDE RAUL ALBERTO VAR-"/>
    <m/>
    <n v="0"/>
    <n v="310000"/>
    <n v="310000"/>
    <m/>
    <n v="1140"/>
    <n v="0"/>
    <n v="271.92982456140351"/>
    <s v="ARS"/>
    <s v="CC"/>
    <s v="PAMPA"/>
    <x v="1"/>
    <x v="2"/>
    <x v="14"/>
    <m/>
    <s v="RAUL"/>
    <m/>
    <x v="8"/>
    <s v="RAUL"/>
    <s v="24/25"/>
    <s v="EFECTIVO Y OTROS ACT LÍQ EQ."/>
    <s v="APORTES DE CAPITAL"/>
  </r>
  <r>
    <x v="2"/>
    <d v="2025-03-11T00:00:00"/>
    <s v="IMP.DEB/CRED P/CRED."/>
    <m/>
    <n v="1860"/>
    <n v="0"/>
    <n v="-1860"/>
    <m/>
    <n v="1140"/>
    <n v="1.631578947368421"/>
    <n v="0"/>
    <s v="ARS"/>
    <s v="CC"/>
    <s v="PAMPA"/>
    <x v="1"/>
    <x v="1"/>
    <x v="1"/>
    <s v="TASA GRAL"/>
    <m/>
    <m/>
    <x v="1"/>
    <m/>
    <s v="24/25"/>
    <s v="EGRESOS"/>
    <s v="EFECTIVO Y OTROS ACT LÍQ EQ."/>
  </r>
  <r>
    <x v="2"/>
    <d v="2025-03-26T00:00:00"/>
    <s v="PMOS COMERCIALES"/>
    <m/>
    <n v="0"/>
    <n v="19664000"/>
    <n v="19664000"/>
    <n v="9676221.3900000006"/>
    <n v="1140"/>
    <n v="0"/>
    <n v="17249.122807017542"/>
    <s v="ARS"/>
    <s v="CC"/>
    <s v="PAMPA"/>
    <x v="0"/>
    <x v="10"/>
    <x v="15"/>
    <m/>
    <s v="PAMPA"/>
    <m/>
    <x v="9"/>
    <m/>
    <s v="24/25"/>
    <s v="EFECTIVO Y OTROS ACT LÍQ EQ."/>
    <s v="CREDITOS PAMPA"/>
  </r>
  <r>
    <x v="2"/>
    <d v="2025-03-31T00:00:00"/>
    <s v="IVA PERCEPC.ALIC.RED"/>
    <m/>
    <n v="4722.55"/>
    <n v="0"/>
    <n v="-4722.55"/>
    <m/>
    <n v="1140"/>
    <n v="4.1425877192982457"/>
    <n v="0"/>
    <s v="ARS"/>
    <s v="CC"/>
    <s v="PAMPA"/>
    <x v="1"/>
    <x v="1"/>
    <x v="1"/>
    <s v="IVA PERCEPCION"/>
    <m/>
    <m/>
    <x v="1"/>
    <m/>
    <s v="24/25"/>
    <s v="EGRESOS"/>
    <s v="EFECTIVO Y OTROS ACT LÍQ EQ."/>
  </r>
  <r>
    <x v="2"/>
    <d v="2025-03-31T00:00:00"/>
    <s v="INTERESES ACUERDOS"/>
    <m/>
    <n v="314836.5"/>
    <n v="0"/>
    <n v="-314836.5"/>
    <m/>
    <n v="1140"/>
    <n v="276.17236842105262"/>
    <n v="0"/>
    <s v="ARS"/>
    <s v="CC"/>
    <s v="PAMPA"/>
    <x v="1"/>
    <x v="6"/>
    <x v="8"/>
    <m/>
    <m/>
    <m/>
    <x v="1"/>
    <m/>
    <s v="24/25"/>
    <s v="EGRESOS"/>
    <s v="EFECTIVO Y OTROS ACT LÍQ EQ."/>
  </r>
  <r>
    <x v="2"/>
    <d v="2025-03-31T00:00:00"/>
    <s v="IMP.DEB/CRED P/DEB."/>
    <m/>
    <n v="2422.2399999999998"/>
    <n v="0"/>
    <n v="-2422.2399999999998"/>
    <m/>
    <n v="1140"/>
    <n v="2.1247719298245613"/>
    <n v="0"/>
    <s v="ARS"/>
    <s v="CC"/>
    <s v="PAMPA"/>
    <x v="1"/>
    <x v="1"/>
    <x v="1"/>
    <s v="DEBITO IVA FISCAL"/>
    <m/>
    <m/>
    <x v="1"/>
    <m/>
    <s v="24/25"/>
    <s v="EGRESOS"/>
    <s v="EFECTIVO Y OTROS ACT LÍQ EQ."/>
  </r>
  <r>
    <x v="2"/>
    <d v="2025-03-31T00:00:00"/>
    <s v="IVA REDUCCION 10,5%"/>
    <m/>
    <n v="33057.83"/>
    <n v="0"/>
    <n v="-33057.83"/>
    <m/>
    <n v="1140"/>
    <n v="28.998096491228072"/>
    <n v="0"/>
    <s v="ARS"/>
    <s v="CC"/>
    <s v="PAMPA"/>
    <x v="1"/>
    <x v="1"/>
    <x v="1"/>
    <s v="DEBITO IVA FISCAL"/>
    <m/>
    <m/>
    <x v="1"/>
    <m/>
    <s v="22/23"/>
    <s v="EGRESOS"/>
    <s v="EFECTIVO Y OTROS ACT LÍQ EQ."/>
  </r>
  <r>
    <x v="2"/>
    <d v="2025-03-31T00:00:00"/>
    <s v="IVA REDUCCION 10,5%"/>
    <m/>
    <n v="238.09"/>
    <n v="0"/>
    <n v="-238.09"/>
    <m/>
    <n v="1140"/>
    <n v="0.20885087719298245"/>
    <n v="0"/>
    <s v="ARS"/>
    <s v="CC"/>
    <s v="PAMPA"/>
    <x v="1"/>
    <x v="1"/>
    <x v="1"/>
    <s v="IVA REDUCCION"/>
    <m/>
    <m/>
    <x v="1"/>
    <m/>
    <s v="22/23"/>
    <s v="EGRESOS"/>
    <s v="EFECTIVO Y OTROS ACT LÍQ EQ."/>
  </r>
  <r>
    <x v="2"/>
    <d v="2025-03-31T00:00:00"/>
    <s v="IVA REDUCCION 10,5%"/>
    <m/>
    <n v="119.04"/>
    <n v="0"/>
    <n v="-119.04"/>
    <m/>
    <n v="1140"/>
    <n v="0.10442105263157896"/>
    <n v="0"/>
    <s v="ARS"/>
    <s v="CC"/>
    <s v="PAMPA"/>
    <x v="1"/>
    <x v="1"/>
    <x v="1"/>
    <s v="IVA REDUCCION"/>
    <m/>
    <m/>
    <x v="1"/>
    <m/>
    <s v="22/23"/>
    <s v="EGRESOS"/>
    <s v="EFECTIVO Y OTROS ACT LÍQ EQ."/>
  </r>
  <r>
    <x v="2"/>
    <d v="2025-03-31T00:00:00"/>
    <s v="INTERESES"/>
    <m/>
    <n v="1133.74"/>
    <n v="0"/>
    <n v="-1133.74"/>
    <m/>
    <n v="1140"/>
    <n v="0.99450877192982456"/>
    <n v="0"/>
    <s v="ARS"/>
    <s v="CC"/>
    <s v="PAMPA"/>
    <x v="1"/>
    <x v="6"/>
    <x v="8"/>
    <m/>
    <m/>
    <m/>
    <x v="1"/>
    <m/>
    <s v="22/23"/>
    <s v="EGRESOS"/>
    <s v="EFECTIVO Y OTROS ACT LÍQ EQ."/>
  </r>
  <r>
    <x v="2"/>
    <d v="2025-03-31T00:00:00"/>
    <s v="IVA"/>
    <m/>
    <n v="6615"/>
    <n v="0"/>
    <n v="-6615"/>
    <m/>
    <n v="1140"/>
    <n v="5.8026315789473681"/>
    <n v="0"/>
    <s v="ARS"/>
    <s v="CC"/>
    <s v="PAMPA"/>
    <x v="1"/>
    <x v="1"/>
    <x v="1"/>
    <s v="IVA"/>
    <m/>
    <m/>
    <x v="1"/>
    <m/>
    <s v="22/23"/>
    <s v="EGRESOS"/>
    <s v="EFECTIVO Y OTROS ACT LÍQ EQ."/>
  </r>
  <r>
    <x v="2"/>
    <d v="2025-03-31T00:00:00"/>
    <s v="INTERESES"/>
    <m/>
    <n v="2267.48"/>
    <n v="0"/>
    <n v="-2267.48"/>
    <m/>
    <n v="1140"/>
    <n v="1.9890175438596491"/>
    <n v="0"/>
    <s v="ARS"/>
    <s v="CC"/>
    <s v="PAMPA"/>
    <x v="1"/>
    <x v="6"/>
    <x v="8"/>
    <m/>
    <m/>
    <m/>
    <x v="1"/>
    <m/>
    <s v="22/23"/>
    <s v="EGRESOS"/>
    <s v="EFECTIVO Y OTROS ACT LÍQ EQ."/>
  </r>
  <r>
    <x v="2"/>
    <d v="2025-03-31T00:00:00"/>
    <s v="IMP.SELLOS"/>
    <m/>
    <n v="8213.15"/>
    <n v="0"/>
    <n v="-8213.15"/>
    <m/>
    <n v="1140"/>
    <n v="7.2045175438596489"/>
    <n v="0"/>
    <s v="ARS"/>
    <s v="CC"/>
    <s v="PAMPA"/>
    <x v="1"/>
    <x v="1"/>
    <x v="1"/>
    <s v="SELLOS"/>
    <m/>
    <m/>
    <x v="1"/>
    <m/>
    <s v="22/23"/>
    <s v="EGRESOS"/>
    <s v="EFECTIVO Y OTROS ACT LÍQ EQ."/>
  </r>
  <r>
    <x v="2"/>
    <d v="2025-03-31T00:00:00"/>
    <s v="IMP.SELLOS"/>
    <m/>
    <n v="59.15"/>
    <n v="0"/>
    <n v="-59.15"/>
    <m/>
    <n v="1140"/>
    <n v="5.1885964912280702E-2"/>
    <n v="0"/>
    <s v="ARS"/>
    <s v="CC"/>
    <s v="PAMPA"/>
    <x v="1"/>
    <x v="1"/>
    <x v="1"/>
    <s v="SELLOS"/>
    <m/>
    <m/>
    <x v="1"/>
    <m/>
    <s v="22/23"/>
    <s v="EGRESOS"/>
    <s v="EFECTIVO Y OTROS ACT LÍQ EQ."/>
  </r>
  <r>
    <x v="2"/>
    <d v="2025-03-31T00:00:00"/>
    <s v="COM. MANTENIMIENTO DE CUENTA"/>
    <m/>
    <n v="31500"/>
    <n v="0"/>
    <n v="-31500"/>
    <m/>
    <n v="1140"/>
    <n v="27.631578947368421"/>
    <n v="0"/>
    <s v="ARS"/>
    <s v="CC"/>
    <s v="PAMPA"/>
    <x v="1"/>
    <x v="7"/>
    <x v="9"/>
    <m/>
    <m/>
    <m/>
    <x v="1"/>
    <m/>
    <s v="22/23"/>
    <s v="EGRESOS"/>
    <s v="EFECTIVO Y OTROS ACT LÍQ EQ."/>
  </r>
  <r>
    <x v="2"/>
    <d v="2025-03-31T00:00:00"/>
    <s v="IVA PERCEPCION"/>
    <m/>
    <n v="945"/>
    <n v="0"/>
    <n v="-945"/>
    <m/>
    <n v="1140"/>
    <n v="0.82894736842105265"/>
    <n v="0"/>
    <s v="ARS"/>
    <s v="CC"/>
    <s v="PAMPA"/>
    <x v="1"/>
    <x v="1"/>
    <x v="1"/>
    <s v="IVA PERCEPCION"/>
    <m/>
    <m/>
    <x v="1"/>
    <m/>
    <s v="22/23"/>
    <s v="EGRESOS"/>
    <s v="EFECTIVO Y OTROS ACT LÍQ EQ."/>
  </r>
  <r>
    <x v="3"/>
    <d v="2025-04-01T00:00:00"/>
    <s v="IMP.DEB/CRED P/DEB."/>
    <m/>
    <n v="44.64"/>
    <n v="0"/>
    <n v="-44.64"/>
    <m/>
    <n v="1140"/>
    <n v="3.9157894736842107E-2"/>
    <n v="0"/>
    <s v="ARS"/>
    <s v="CC"/>
    <s v="PAMPA"/>
    <x v="1"/>
    <x v="1"/>
    <x v="1"/>
    <s v="DEBITO IVA FISCAL"/>
    <m/>
    <m/>
    <x v="1"/>
    <m/>
    <s v="22/23"/>
    <s v="EGRESOS"/>
    <s v="EFECTIVO Y OTROS ACT LÍQ EQ."/>
  </r>
  <r>
    <x v="3"/>
    <d v="2025-04-01T00:00:00"/>
    <s v="PAMPA DIG TRF."/>
    <m/>
    <n v="19600000"/>
    <n v="0"/>
    <n v="-19600000"/>
    <m/>
    <n v="1140"/>
    <n v="17192.982456140351"/>
    <n v="0"/>
    <s v="ARS"/>
    <s v="CC"/>
    <s v="PAMPA"/>
    <x v="0"/>
    <x v="0"/>
    <x v="0"/>
    <s v="HACIA EL GALICIA"/>
    <m/>
    <m/>
    <x v="0"/>
    <m/>
    <s v="24/25"/>
    <m/>
    <m/>
  </r>
  <r>
    <x v="3"/>
    <d v="2025-04-01T00:00:00"/>
    <s v="COM.TRANSF PAMPA DIG"/>
    <m/>
    <n v="6000"/>
    <n v="0"/>
    <n v="-6000"/>
    <m/>
    <n v="1140"/>
    <n v="5.2631578947368425"/>
    <n v="0"/>
    <s v="ARS"/>
    <s v="CC"/>
    <s v="PAMPA"/>
    <x v="1"/>
    <x v="7"/>
    <x v="9"/>
    <m/>
    <m/>
    <m/>
    <x v="1"/>
    <m/>
    <s v="22/23"/>
    <s v="EGRESOS"/>
    <s v="EFECTIVO Y OTROS ACT LÍQ EQ."/>
  </r>
  <r>
    <x v="3"/>
    <d v="2025-04-01T00:00:00"/>
    <s v="IVA"/>
    <m/>
    <n v="1260"/>
    <n v="0"/>
    <n v="-1260"/>
    <m/>
    <n v="1140"/>
    <n v="1.1052631578947369"/>
    <n v="0"/>
    <s v="ARS"/>
    <s v="CC"/>
    <s v="PAMPA"/>
    <x v="1"/>
    <x v="1"/>
    <x v="1"/>
    <s v="IVA"/>
    <m/>
    <m/>
    <x v="1"/>
    <m/>
    <s v="22/23"/>
    <s v="EGRESOS"/>
    <s v="EFECTIVO Y OTROS ACT LÍQ EQ."/>
  </r>
  <r>
    <x v="3"/>
    <d v="2025-04-01T00:00:00"/>
    <s v="IVA PERCEPCION"/>
    <m/>
    <n v="180"/>
    <n v="0"/>
    <n v="-180"/>
    <m/>
    <n v="1140"/>
    <n v="0.15789473684210525"/>
    <n v="0"/>
    <s v="ARS"/>
    <s v="CC"/>
    <s v="PAMPA"/>
    <x v="1"/>
    <x v="1"/>
    <x v="1"/>
    <s v="IVA PERCEPCION"/>
    <m/>
    <m/>
    <x v="1"/>
    <m/>
    <s v="22/23"/>
    <s v="EGRESOS"/>
    <s v="EFECTIVO Y OTROS ACT LÍQ EQ."/>
  </r>
  <r>
    <x v="3"/>
    <d v="2025-04-09T00:00:00"/>
    <s v="DATANET EXENTO - 30708920882-G &amp; E S.A."/>
    <m/>
    <n v="0"/>
    <n v="350000"/>
    <n v="350000"/>
    <n v="-9987393.0199999996"/>
    <n v="1140"/>
    <n v="0"/>
    <n v="307.01754385964909"/>
    <s v="ARS"/>
    <s v="CC"/>
    <s v="PAMPA"/>
    <x v="0"/>
    <x v="0"/>
    <x v="0"/>
    <s v="DESDE CC GALICIA"/>
    <m/>
    <m/>
    <x v="0"/>
    <m/>
    <s v="24/25"/>
    <m/>
    <m/>
  </r>
  <r>
    <x v="3"/>
    <d v="2025-04-25T00:00:00"/>
    <s v="TRANSFERENCIA RECIBIDA - 20164045693-ERRECALDE RAUL ALBERTO VAR-"/>
    <m/>
    <n v="0"/>
    <n v="50000"/>
    <n v="50000"/>
    <m/>
    <n v="1140"/>
    <n v="0"/>
    <n v="43.859649122807021"/>
    <s v="ARS"/>
    <s v="CC"/>
    <s v="PAMPA"/>
    <x v="1"/>
    <x v="2"/>
    <x v="14"/>
    <m/>
    <s v="RAUL"/>
    <m/>
    <x v="8"/>
    <s v="RAUL"/>
    <s v="24/25"/>
    <s v="EFECTIVO Y OTROS ACT LÍQ EQ."/>
    <s v="APORTES DE CAPITAL"/>
  </r>
  <r>
    <x v="3"/>
    <d v="2025-04-25T00:00:00"/>
    <s v="IMP. DEBITOS Y CRED. POR DEBITO"/>
    <m/>
    <n v="22331.49"/>
    <n v="0"/>
    <n v="-22331.49"/>
    <m/>
    <n v="1140"/>
    <n v="19.589026315789475"/>
    <n v="0"/>
    <s v="ARS"/>
    <s v="CC"/>
    <s v="PAMPA"/>
    <x v="1"/>
    <x v="1"/>
    <x v="1"/>
    <s v="TASA GRAL"/>
    <m/>
    <m/>
    <x v="1"/>
    <m/>
    <s v="24/25"/>
    <s v="EGRESOS"/>
    <s v="EFECTIVO Y OTROS ACT LÍQ EQ."/>
  </r>
  <r>
    <x v="3"/>
    <d v="2025-04-25T00:00:00"/>
    <s v="IMP. DEBITOS Y CRED. POR CREDITO"/>
    <m/>
    <n v="8400"/>
    <n v="0"/>
    <n v="-8400"/>
    <m/>
    <n v="1140"/>
    <n v="7.3684210526315788"/>
    <n v="0"/>
    <s v="ARS"/>
    <s v="CC"/>
    <s v="PAMPA"/>
    <x v="1"/>
    <x v="1"/>
    <x v="1"/>
    <s v="TASA GRAL"/>
    <m/>
    <m/>
    <x v="1"/>
    <m/>
    <s v="24/25"/>
    <s v="EGRESOS"/>
    <s v="EFECTIVO Y OTROS ACT LÍQ EQ."/>
  </r>
  <r>
    <x v="3"/>
    <d v="2025-04-25T00:00:00"/>
    <s v="DATANET EXENTO - 30708920882-G &amp; E S.A."/>
    <m/>
    <n v="0"/>
    <n v="2340000"/>
    <n v="2340000"/>
    <m/>
    <n v="1140"/>
    <n v="0"/>
    <n v="2052.6315789473683"/>
    <s v="ARS"/>
    <s v="CC"/>
    <s v="PAMPA"/>
    <x v="0"/>
    <x v="0"/>
    <x v="0"/>
    <s v="DESDE CC GALICIA"/>
    <m/>
    <m/>
    <x v="0"/>
    <m/>
    <s v="24/25"/>
    <m/>
    <m/>
  </r>
  <r>
    <x v="3"/>
    <d v="2025-04-25T00:00:00"/>
    <s v="DATANET EXENTO - 30708920882-G &amp; E S.A."/>
    <m/>
    <n v="0"/>
    <n v="1350000"/>
    <n v="1350000"/>
    <m/>
    <n v="1140"/>
    <n v="0"/>
    <n v="1184.2105263157894"/>
    <s v="ARS"/>
    <s v="CC"/>
    <s v="PAMPA"/>
    <x v="1"/>
    <x v="11"/>
    <x v="14"/>
    <s v="DEPOSITO EF PARA EL PAMPA"/>
    <s v="SANTIAGO ERRECALDE"/>
    <m/>
    <x v="10"/>
    <m/>
    <s v="24/25"/>
    <s v="EFECTIVO Y OTROS ACT LÍQ EQ."/>
    <s v="ACREEDORES CORTO PLAZO"/>
  </r>
  <r>
    <x v="3"/>
    <d v="2025-04-25T00:00:00"/>
    <s v="COBRO PRESTAMO COMERCIAL"/>
    <m/>
    <n v="3721914.98"/>
    <n v="0"/>
    <n v="-3721914.98"/>
    <n v="-10000039.49"/>
    <n v="1140"/>
    <n v="3264.8377017543858"/>
    <n v="0"/>
    <s v="ARS"/>
    <s v="CC"/>
    <s v="PAMPA"/>
    <x v="0"/>
    <x v="12"/>
    <x v="16"/>
    <s v="PRESTAMO PAMPA A 6MESES"/>
    <m/>
    <m/>
    <x v="11"/>
    <m/>
    <s v="24/25"/>
    <s v="CREDITOS PAMPA"/>
    <s v="EFECTIVO Y OTROS ACT LÍQ EQ."/>
  </r>
  <r>
    <x v="3"/>
    <d v="2025-04-29T00:00:00"/>
    <s v="TRANSFERENCIA RECIBIDA - 20164045693-ERRECALDE RAUL ALBERTO VAR-"/>
    <m/>
    <n v="0"/>
    <n v="1000"/>
    <n v="1000"/>
    <m/>
    <n v="1140"/>
    <n v="0"/>
    <n v="0.8771929824561403"/>
    <s v="ARS"/>
    <s v="CC"/>
    <s v="PAMPA"/>
    <x v="1"/>
    <x v="2"/>
    <x v="14"/>
    <m/>
    <s v="RAUL"/>
    <m/>
    <x v="8"/>
    <s v="RAUL"/>
    <s v="24/25"/>
    <s v="EFECTIVO Y OTROS ACT LÍQ EQ."/>
    <s v="APORTES DE CAPITAL"/>
  </r>
  <r>
    <x v="3"/>
    <d v="2025-04-29T00:00:00"/>
    <s v="IMP. DEBITOS Y CRED. POR CREDITO"/>
    <m/>
    <n v="6"/>
    <n v="0"/>
    <n v="-6"/>
    <n v="-9999045.4900000002"/>
    <n v="1140"/>
    <n v="5.263157894736842E-3"/>
    <n v="0"/>
    <s v="ARS"/>
    <s v="CC"/>
    <s v="PAMPA"/>
    <x v="1"/>
    <x v="1"/>
    <x v="1"/>
    <s v="TASA GRAL"/>
    <m/>
    <m/>
    <x v="1"/>
    <m/>
    <s v="24/25"/>
    <s v="EGRESOS"/>
    <s v="EFECTIVO Y OTROS ACT LÍQ EQ."/>
  </r>
  <r>
    <x v="3"/>
    <d v="2025-04-30T00:00:00"/>
    <s v="IVA PERCEPCION ALICUOTA REDUCIDA"/>
    <m/>
    <n v="6283.35"/>
    <n v="0"/>
    <n v="-6283.35"/>
    <m/>
    <n v="1141"/>
    <n v="5.5068799298860656"/>
    <n v="0"/>
    <s v="ARS"/>
    <s v="CC"/>
    <s v="PAMPA"/>
    <x v="1"/>
    <x v="1"/>
    <x v="1"/>
    <s v="IVA PERCEPCION"/>
    <m/>
    <m/>
    <x v="1"/>
    <m/>
    <s v="24/26"/>
    <s v="EGRESOS"/>
    <s v="EFECTIVO Y OTROS ACT LÍQ EQ."/>
  </r>
  <r>
    <x v="3"/>
    <d v="2025-04-30T00:00:00"/>
    <s v="INTERESES ACUERDO SALDO DEUDOR"/>
    <m/>
    <n v="418889.79"/>
    <n v="0"/>
    <n v="-418889.79"/>
    <m/>
    <n v="1142"/>
    <n v="366.8036690017513"/>
    <n v="0"/>
    <s v="ARS"/>
    <s v="CC"/>
    <s v="PAMPA"/>
    <x v="1"/>
    <x v="6"/>
    <x v="8"/>
    <m/>
    <m/>
    <m/>
    <x v="1"/>
    <m/>
    <s v="24/27"/>
    <s v="EGRESOS"/>
    <s v="EFECTIVO Y OTROS ACT LÍQ EQ."/>
  </r>
  <r>
    <x v="3"/>
    <d v="2025-04-30T00:00:00"/>
    <s v="IMP. DEBITOS Y CRED. POR DEBITO"/>
    <m/>
    <n v="3191.16"/>
    <n v="0"/>
    <n v="-3191.16"/>
    <m/>
    <n v="1143"/>
    <n v="2.7919160104986873"/>
    <n v="0"/>
    <s v="ARS"/>
    <s v="CC"/>
    <s v="PAMPA"/>
    <x v="1"/>
    <x v="1"/>
    <x v="1"/>
    <s v="DEBITO IVA FISCAL"/>
    <m/>
    <m/>
    <x v="1"/>
    <m/>
    <s v="24/28"/>
    <s v="EGRESOS"/>
    <s v="EFECTIVO Y OTROS ACT LÍQ EQ."/>
  </r>
  <r>
    <x v="3"/>
    <d v="2025-04-30T00:00:00"/>
    <s v="IVA 10,5%"/>
    <m/>
    <n v="43983.43"/>
    <n v="0"/>
    <n v="-43983.43"/>
    <m/>
    <n v="1144"/>
    <n v="38.447054195804199"/>
    <n v="0"/>
    <s v="ARS"/>
    <s v="CC"/>
    <s v="PAMPA"/>
    <x v="1"/>
    <x v="1"/>
    <x v="1"/>
    <s v="IVA REDUCCION"/>
    <m/>
    <m/>
    <x v="1"/>
    <m/>
    <s v="24/29"/>
    <s v="EGRESOS"/>
    <s v="EFECTIVO Y OTROS ACT LÍQ EQ."/>
  </r>
  <r>
    <x v="3"/>
    <d v="2025-04-30T00:00:00"/>
    <s v="IVA 10,5%"/>
    <m/>
    <n v="357.2"/>
    <n v="0"/>
    <n v="-357.2"/>
    <m/>
    <n v="1145"/>
    <n v="0.31196506550218339"/>
    <n v="0"/>
    <s v="ARS"/>
    <s v="CC"/>
    <s v="PAMPA"/>
    <x v="1"/>
    <x v="1"/>
    <x v="1"/>
    <s v="IVA REDUCCION"/>
    <m/>
    <m/>
    <x v="1"/>
    <m/>
    <s v="24/30"/>
    <s v="EGRESOS"/>
    <s v="EFECTIVO Y OTROS ACT LÍQ EQ."/>
  </r>
  <r>
    <x v="3"/>
    <d v="2025-04-30T00:00:00"/>
    <s v="IVA 10,5%"/>
    <m/>
    <n v="178.6"/>
    <n v="0"/>
    <n v="-178.6"/>
    <m/>
    <n v="1146"/>
    <n v="0.15584642233856894"/>
    <n v="0"/>
    <s v="ARS"/>
    <s v="CC"/>
    <s v="PAMPA"/>
    <x v="1"/>
    <x v="1"/>
    <x v="1"/>
    <s v="IVA REDUCCION"/>
    <m/>
    <m/>
    <x v="1"/>
    <m/>
    <s v="24/31"/>
    <s v="EGRESOS"/>
    <s v="EFECTIVO Y OTROS ACT LÍQ EQ."/>
  </r>
  <r>
    <x v="3"/>
    <d v="2025-04-30T00:00:00"/>
    <s v="INTERESES EXCESO DESCUBIERTO"/>
    <m/>
    <n v="1700.96"/>
    <n v="0"/>
    <n v="-1700.96"/>
    <m/>
    <n v="1147"/>
    <n v="1.4829642545771577"/>
    <n v="0"/>
    <s v="ARS"/>
    <s v="CC"/>
    <s v="PAMPA"/>
    <x v="1"/>
    <x v="6"/>
    <x v="8"/>
    <m/>
    <m/>
    <m/>
    <x v="1"/>
    <m/>
    <s v="24/32"/>
    <s v="EGRESOS"/>
    <s v="EFECTIVO Y OTROS ACT LÍQ EQ."/>
  </r>
  <r>
    <x v="3"/>
    <d v="2025-04-30T00:00:00"/>
    <s v="IVA"/>
    <m/>
    <n v="7980"/>
    <n v="0"/>
    <n v="-7980"/>
    <m/>
    <n v="1148"/>
    <n v="6.9512195121951219"/>
    <n v="0"/>
    <s v="ARS"/>
    <s v="CC"/>
    <s v="PAMPA"/>
    <x v="1"/>
    <x v="1"/>
    <x v="1"/>
    <s v="DEBITO IVA FISCAL"/>
    <m/>
    <m/>
    <x v="1"/>
    <m/>
    <s v="24/33"/>
    <s v="EGRESOS"/>
    <s v="EFECTIVO Y OTROS ACT LÍQ EQ."/>
  </r>
  <r>
    <x v="3"/>
    <d v="2025-04-30T00:00:00"/>
    <s v="INTERESES DESCUBIERTO"/>
    <m/>
    <n v="3401.92"/>
    <n v="0"/>
    <n v="-3401.92"/>
    <m/>
    <n v="1149"/>
    <n v="2.9607658833768493"/>
    <n v="0"/>
    <s v="ARS"/>
    <s v="CC"/>
    <s v="PAMPA"/>
    <x v="1"/>
    <x v="6"/>
    <x v="8"/>
    <m/>
    <m/>
    <m/>
    <x v="1"/>
    <m/>
    <s v="24/34"/>
    <s v="EGRESOS"/>
    <s v="EFECTIVO Y OTROS ACT LÍQ EQ."/>
  </r>
  <r>
    <x v="3"/>
    <d v="2025-04-30T00:00:00"/>
    <s v="IMPUESTO DE SELLOS"/>
    <m/>
    <n v="9856.32"/>
    <n v="0"/>
    <n v="-9856.32"/>
    <m/>
    <n v="1150"/>
    <n v="8.5707130434782606"/>
    <n v="0"/>
    <s v="ARS"/>
    <s v="CC"/>
    <s v="PAMPA"/>
    <x v="1"/>
    <x v="1"/>
    <x v="1"/>
    <s v="SELLOS"/>
    <m/>
    <m/>
    <x v="1"/>
    <m/>
    <s v="24/35"/>
    <s v="EGRESOS"/>
    <s v="EFECTIVO Y OTROS ACT LÍQ EQ."/>
  </r>
  <r>
    <x v="3"/>
    <d v="2025-04-30T00:00:00"/>
    <s v="IMPUESTO DE SELLOS"/>
    <m/>
    <n v="88.74"/>
    <n v="0"/>
    <n v="-88.74"/>
    <m/>
    <n v="1151"/>
    <n v="7.7098175499565588E-2"/>
    <n v="0"/>
    <s v="ARS"/>
    <s v="CC"/>
    <s v="PAMPA"/>
    <x v="1"/>
    <x v="1"/>
    <x v="1"/>
    <s v="SELLOS"/>
    <m/>
    <m/>
    <x v="1"/>
    <m/>
    <s v="24/36"/>
    <s v="EGRESOS"/>
    <s v="EFECTIVO Y OTROS ACT LÍQ EQ."/>
  </r>
  <r>
    <x v="3"/>
    <d v="2025-04-30T00:00:00"/>
    <s v="COM. MANTENIMIENTO DE CUENTA"/>
    <m/>
    <n v="38000"/>
    <n v="0"/>
    <n v="-38000"/>
    <m/>
    <n v="1152"/>
    <n v="32.986111111111114"/>
    <n v="0"/>
    <s v="ARS"/>
    <s v="CC"/>
    <s v="PAMPA"/>
    <x v="1"/>
    <x v="7"/>
    <x v="9"/>
    <m/>
    <m/>
    <m/>
    <x v="1"/>
    <m/>
    <s v="24/37"/>
    <s v="EGRESOS"/>
    <s v="EFECTIVO Y OTROS ACT LÍQ EQ."/>
  </r>
  <r>
    <x v="3"/>
    <d v="2025-04-30T00:00:00"/>
    <s v="IVA PERCEPCION"/>
    <m/>
    <n v="1140"/>
    <n v="0"/>
    <n v="-1140"/>
    <n v="-10534096.960000001"/>
    <n v="1153"/>
    <n v="0.98872506504770163"/>
    <n v="0"/>
    <s v="ARS"/>
    <s v="CC"/>
    <s v="PAMPA"/>
    <x v="1"/>
    <x v="1"/>
    <x v="1"/>
    <s v="IVA PERCEPCION"/>
    <m/>
    <m/>
    <x v="1"/>
    <m/>
    <s v="24/38"/>
    <s v="EGRESOS"/>
    <s v="EFECTIVO Y OTROS ACT LÍQ EQ."/>
  </r>
  <r>
    <x v="4"/>
    <d v="2025-05-12T00:00:00"/>
    <s v="DATANET EXENTO - 30708920882-G &amp; E S.A."/>
    <m/>
    <n v="0"/>
    <n v="550000"/>
    <n v="550000"/>
    <n v="-9984096.9600000009"/>
    <n v="1154"/>
    <n v="0"/>
    <n v="476.60311958405543"/>
    <s v="ARS"/>
    <s v="CC"/>
    <s v="PAMPA"/>
    <x v="0"/>
    <x v="0"/>
    <x v="0"/>
    <s v="DESDE EL MACRO"/>
    <m/>
    <m/>
    <x v="0"/>
    <m/>
    <m/>
    <m/>
    <m/>
  </r>
  <r>
    <x v="4"/>
    <d v="2025-05-19T00:00:00"/>
    <s v="IVA PERCEPCION ALICUOTA REDUCIDA"/>
    <m/>
    <n v="4369.68"/>
    <n v="0"/>
    <n v="-4369.68"/>
    <m/>
    <n v="1155"/>
    <n v="3.7832727272727276"/>
    <n v="0"/>
    <s v="ARS"/>
    <s v="CC"/>
    <s v="PAMPA"/>
    <x v="1"/>
    <x v="1"/>
    <x v="1"/>
    <s v="IVA PERCEPCION"/>
    <m/>
    <m/>
    <x v="1"/>
    <m/>
    <s v="24/38"/>
    <s v="EGRESOS"/>
    <s v="EFECTIVO Y OTROS ACT LÍQ EQ."/>
  </r>
  <r>
    <x v="4"/>
    <d v="2025-05-19T00:00:00"/>
    <s v="INTERESES ACUERDO SALDO DEUDOR"/>
    <m/>
    <n v="291312.3"/>
    <n v="0"/>
    <n v="-291312.3"/>
    <m/>
    <n v="1156"/>
    <n v="252.00025951557092"/>
    <n v="0"/>
    <s v="ARS"/>
    <s v="CC"/>
    <s v="PAMPA"/>
    <x v="1"/>
    <x v="6"/>
    <x v="8"/>
    <m/>
    <m/>
    <m/>
    <x v="1"/>
    <m/>
    <s v="24/38"/>
    <s v="EGRESOS"/>
    <s v="EFECTIVO Y OTROS ACT LÍQ EQ."/>
  </r>
  <r>
    <x v="4"/>
    <d v="2025-05-19T00:00:00"/>
    <s v="IMP. DEBITOS Y CRED. POR DEBITO"/>
    <m/>
    <n v="1995.07"/>
    <n v="0"/>
    <n v="-1995.07"/>
    <m/>
    <n v="1157"/>
    <n v="1.7243474503025065"/>
    <n v="0"/>
    <s v="ARS"/>
    <s v="CC"/>
    <s v="PAMPA"/>
    <x v="1"/>
    <x v="1"/>
    <x v="1"/>
    <s v="DEBITO IVA FISCAL"/>
    <m/>
    <m/>
    <x v="1"/>
    <m/>
    <s v="24/38"/>
    <s v="EGRESOS"/>
    <s v="EFECTIVO Y OTROS ACT LÍQ EQ."/>
  </r>
  <r>
    <x v="4"/>
    <d v="2025-05-19T00:00:00"/>
    <s v="IVA 10,5%"/>
    <m/>
    <n v="30587.79"/>
    <n v="0"/>
    <n v="-30587.79"/>
    <m/>
    <n v="1158"/>
    <n v="26.414326424870467"/>
    <n v="0"/>
    <s v="ARS"/>
    <s v="CC"/>
    <s v="PAMPA"/>
    <x v="1"/>
    <x v="1"/>
    <x v="1"/>
    <s v="DEBITO IVA FISCAL"/>
    <m/>
    <m/>
    <x v="1"/>
    <m/>
    <s v="24/38"/>
    <s v="EGRESOS"/>
    <s v="EFECTIVO Y OTROS ACT LÍQ EQ."/>
  </r>
  <r>
    <x v="4"/>
    <d v="2025-05-19T00:00:00"/>
    <s v="IMPUESTO DE SELLOS"/>
    <m/>
    <n v="6242.39"/>
    <n v="0"/>
    <n v="-6242.39"/>
    <m/>
    <n v="1159"/>
    <n v="5.386013805004314"/>
    <n v="0"/>
    <s v="ARS"/>
    <s v="CC"/>
    <s v="PAMPA"/>
    <x v="1"/>
    <x v="1"/>
    <x v="1"/>
    <s v="SELLOS"/>
    <m/>
    <m/>
    <x v="1"/>
    <m/>
    <s v="24/38"/>
    <s v="EGRESOS"/>
    <s v="EFECTIVO Y OTROS ACT LÍQ EQ."/>
  </r>
  <r>
    <x v="4"/>
    <d v="2025-05-20T00:00:00"/>
    <s v="IVA PERCEPCION ALICUOTA REDUCIDA"/>
    <m/>
    <n v="375"/>
    <n v="0"/>
    <n v="-375"/>
    <m/>
    <n v="1160"/>
    <n v="0.32327586206896552"/>
    <n v="0"/>
    <s v="ARS"/>
    <s v="CC"/>
    <s v="PAMPA"/>
    <x v="1"/>
    <x v="1"/>
    <x v="1"/>
    <s v="IVA PERCEPCION"/>
    <m/>
    <m/>
    <x v="1"/>
    <m/>
    <s v="24/38"/>
    <s v="EGRESOS"/>
    <s v="EFECTIVO Y OTROS ACT LÍQ EQ."/>
  </r>
  <r>
    <x v="4"/>
    <d v="2025-05-20T00:00:00"/>
    <s v="IMP. DEBITOS Y CRED. POR DEBITO"/>
    <m/>
    <n v="168"/>
    <n v="0"/>
    <n v="-168"/>
    <m/>
    <n v="1161"/>
    <n v="0.14470284237726097"/>
    <n v="0"/>
    <s v="ARS"/>
    <s v="CC"/>
    <s v="PAMPA"/>
    <x v="1"/>
    <x v="1"/>
    <x v="1"/>
    <s v="DEBITO IVA FISCAL"/>
    <m/>
    <m/>
    <x v="1"/>
    <m/>
    <s v="24/38"/>
    <s v="EGRESOS"/>
    <s v="EFECTIVO Y OTROS ACT LÍQ EQ."/>
  </r>
  <r>
    <x v="4"/>
    <d v="2025-05-20T00:00:00"/>
    <s v="IVA 10,5%"/>
    <m/>
    <n v="2625"/>
    <n v="0"/>
    <n v="-2625"/>
    <m/>
    <n v="1162"/>
    <n v="2.2590361445783134"/>
    <n v="0"/>
    <s v="ARS"/>
    <s v="CC"/>
    <s v="PAMPA"/>
    <x v="1"/>
    <x v="1"/>
    <x v="1"/>
    <s v="DEBITO IVA FISCAL"/>
    <m/>
    <m/>
    <x v="1"/>
    <m/>
    <s v="24/38"/>
    <s v="EGRESOS"/>
    <s v="EFECTIVO Y OTROS ACT LÍQ EQ."/>
  </r>
  <r>
    <x v="4"/>
    <d v="2025-05-20T00:00:00"/>
    <s v="COM. ALTA DE ACUERDO"/>
    <m/>
    <n v="25000"/>
    <n v="0"/>
    <n v="-25000"/>
    <m/>
    <n v="1163"/>
    <n v="21.496130696474633"/>
    <n v="0"/>
    <s v="ARS"/>
    <s v="CC"/>
    <s v="PAMPA"/>
    <x v="1"/>
    <x v="7"/>
    <x v="9"/>
    <m/>
    <m/>
    <m/>
    <x v="1"/>
    <m/>
    <s v="24/38"/>
    <s v="EGRESOS"/>
    <s v="EFECTIVO Y OTROS ACT LÍQ EQ."/>
  </r>
  <r>
    <x v="4"/>
    <d v="2025-05-21T00:00:00"/>
    <s v="DATANET EXENTO - 30708920882-G &amp; E S.A."/>
    <m/>
    <n v="0"/>
    <n v="350000"/>
    <n v="350000"/>
    <n v="-9996772.1899999995"/>
    <n v="1164"/>
    <n v="0"/>
    <n v="300.68728522336772"/>
    <s v="ARS"/>
    <s v="CC"/>
    <s v="PAMPA"/>
    <x v="0"/>
    <x v="0"/>
    <x v="0"/>
    <s v="DESDE CC MACRO"/>
    <m/>
    <m/>
    <x v="0"/>
    <m/>
    <m/>
    <m/>
    <m/>
  </r>
  <r>
    <x v="4"/>
    <d v="2025-05-23T00:00:00"/>
    <s v="IMP. DEBITOS Y CRED. POR DEBITO"/>
    <m/>
    <n v="22062.85"/>
    <n v="0"/>
    <n v="-22062.85"/>
    <m/>
    <n v="1165"/>
    <n v="18.938068669527897"/>
    <n v="0"/>
    <s v="ARS"/>
    <s v="CC"/>
    <s v="PAMPA"/>
    <x v="1"/>
    <x v="1"/>
    <x v="1"/>
    <s v="TASA GRAL"/>
    <m/>
    <m/>
    <x v="1"/>
    <m/>
    <s v="24/38"/>
    <s v="EGRESOS"/>
    <s v="EFECTIVO Y OTROS ACT LÍQ EQ."/>
  </r>
  <r>
    <x v="4"/>
    <d v="2025-05-23T00:00:00"/>
    <s v="DATANET EXENTO - 30708920882-G &amp; E S.A."/>
    <m/>
    <n v="0"/>
    <n v="4000000"/>
    <n v="4000000"/>
    <m/>
    <n v="1166"/>
    <n v="0"/>
    <n v="3430.5317324185248"/>
    <s v="ARS"/>
    <s v="CC"/>
    <s v="PAMPA"/>
    <x v="0"/>
    <x v="0"/>
    <x v="0"/>
    <s v="DESDE CC MACRO"/>
    <m/>
    <m/>
    <x v="0"/>
    <m/>
    <m/>
    <m/>
    <m/>
  </r>
  <r>
    <x v="4"/>
    <d v="2025-05-23T00:00:00"/>
    <s v="COBRO PRESTAMO COMERCIAL"/>
    <m/>
    <n v="3677142.48"/>
    <n v="0"/>
    <n v="-3677142.48"/>
    <n v="-9695977.5199999996"/>
    <n v="1167"/>
    <n v="3150.9361439588688"/>
    <n v="0"/>
    <s v="ARS"/>
    <s v="CC"/>
    <s v="PAMPA"/>
    <x v="0"/>
    <x v="12"/>
    <x v="17"/>
    <s v="PRESTAMO PAMPA A 6MESES"/>
    <m/>
    <m/>
    <x v="11"/>
    <m/>
    <s v="24/25"/>
    <s v="CREDITOS PAMPA"/>
    <s v="EFECTIVO Y OTROS ACT LÍQ EQ."/>
  </r>
  <r>
    <x v="4"/>
    <d v="2025-05-31T00:00:00"/>
    <s v="IVA PERCEPCION ALICUOTA REDUCIDA"/>
    <m/>
    <n v="2698.53"/>
    <n v="0"/>
    <n v="-2698.53"/>
    <m/>
    <n v="1168"/>
    <n v="2.310385273972603"/>
    <n v="0"/>
    <s v="ARS"/>
    <s v="CC"/>
    <s v="PAMPA"/>
    <x v="1"/>
    <x v="1"/>
    <x v="1"/>
    <m/>
    <m/>
    <m/>
    <x v="1"/>
    <m/>
    <s v="23/24"/>
    <s v="EGRESOS"/>
    <s v="EFECTIVO Y OTROS ACT LÍQ EQ."/>
  </r>
  <r>
    <x v="4"/>
    <d v="2025-05-31T00:00:00"/>
    <s v="IVA PERCEPCION ALICUOTA REDUCIDA"/>
    <m/>
    <n v="150.88999999999999"/>
    <n v="0"/>
    <n v="-150.88999999999999"/>
    <m/>
    <n v="1169"/>
    <n v="0.12907613344739091"/>
    <n v="0"/>
    <s v="ARS"/>
    <s v="CC"/>
    <s v="PAMPA"/>
    <x v="1"/>
    <x v="1"/>
    <x v="1"/>
    <m/>
    <m/>
    <m/>
    <x v="1"/>
    <m/>
    <s v="23/24"/>
    <s v="EGRESOS"/>
    <s v="EFECTIVO Y OTROS ACT LÍQ EQ."/>
  </r>
  <r>
    <x v="4"/>
    <d v="2025-05-31T00:00:00"/>
    <s v="IVA PERCEPCION ALICUOTA REDUCIDA"/>
    <m/>
    <n v="75.44"/>
    <n v="0"/>
    <n v="-75.44"/>
    <m/>
    <n v="1170"/>
    <n v="6.4478632478632475E-2"/>
    <n v="0"/>
    <s v="ARS"/>
    <s v="CC"/>
    <s v="PAMPA"/>
    <x v="1"/>
    <x v="1"/>
    <x v="1"/>
    <m/>
    <m/>
    <m/>
    <x v="1"/>
    <m/>
    <s v="23/24"/>
    <s v="EGRESOS"/>
    <s v="EFECTIVO Y OTROS ACT LÍQ EQ."/>
  </r>
  <r>
    <x v="4"/>
    <d v="2025-05-31T00:00:00"/>
    <s v="INTERESES ACUERDO SALDO DEUDOR"/>
    <m/>
    <n v="179902.05"/>
    <n v="0"/>
    <n v="-179902.05"/>
    <m/>
    <n v="1171"/>
    <n v="153.63112724167377"/>
    <n v="0"/>
    <s v="ARS"/>
    <s v="CC"/>
    <s v="PAMPA"/>
    <x v="1"/>
    <x v="6"/>
    <x v="8"/>
    <m/>
    <m/>
    <m/>
    <x v="1"/>
    <m/>
    <s v="23/24"/>
    <s v="EGRESOS"/>
    <s v="EFECTIVO Y OTROS ACT LÍQ EQ."/>
  </r>
  <r>
    <x v="4"/>
    <d v="2025-05-31T00:00:00"/>
    <s v="IMP. DEBITOS Y CRED. POR DEBITO"/>
    <m/>
    <n v="1617.48"/>
    <n v="0"/>
    <n v="-1617.48"/>
    <m/>
    <n v="1172"/>
    <n v="1.3801023890784982"/>
    <n v="0"/>
    <s v="ARS"/>
    <s v="CC"/>
    <s v="PAMPA"/>
    <x v="1"/>
    <x v="1"/>
    <x v="1"/>
    <m/>
    <m/>
    <m/>
    <x v="1"/>
    <m/>
    <s v="23/24"/>
    <s v="EGRESOS"/>
    <s v="EFECTIVO Y OTROS ACT LÍQ EQ."/>
  </r>
  <r>
    <x v="4"/>
    <d v="2025-05-31T00:00:00"/>
    <s v="IVA 10,5%"/>
    <m/>
    <n v="18889.72"/>
    <n v="0"/>
    <n v="-18889.72"/>
    <m/>
    <n v="1173"/>
    <n v="16.103768115942032"/>
    <n v="0"/>
    <s v="ARS"/>
    <s v="CC"/>
    <s v="PAMPA"/>
    <x v="1"/>
    <x v="1"/>
    <x v="1"/>
    <m/>
    <m/>
    <m/>
    <x v="1"/>
    <m/>
    <s v="23/24"/>
    <s v="EGRESOS"/>
    <s v="EFECTIVO Y OTROS ACT LÍQ EQ."/>
  </r>
  <r>
    <x v="4"/>
    <d v="2025-05-31T00:00:00"/>
    <s v="IVA 10,5%"/>
    <m/>
    <n v="1056.21"/>
    <n v="0"/>
    <n v="-1056.21"/>
    <m/>
    <n v="1174"/>
    <n v="0.89966780238500854"/>
    <n v="0"/>
    <s v="ARS"/>
    <s v="CC"/>
    <s v="PAMPA"/>
    <x v="1"/>
    <x v="1"/>
    <x v="1"/>
    <m/>
    <m/>
    <m/>
    <x v="1"/>
    <m/>
    <s v="23/24"/>
    <s v="EGRESOS"/>
    <s v="EFECTIVO Y OTROS ACT LÍQ EQ."/>
  </r>
  <r>
    <x v="4"/>
    <d v="2025-05-31T00:00:00"/>
    <s v="IVA 10,5%"/>
    <m/>
    <n v="528.1"/>
    <n v="0"/>
    <n v="-528.1"/>
    <m/>
    <n v="1175"/>
    <n v="0.44944680851063834"/>
    <n v="0"/>
    <s v="ARS"/>
    <s v="CC"/>
    <s v="PAMPA"/>
    <x v="1"/>
    <x v="1"/>
    <x v="1"/>
    <m/>
    <m/>
    <m/>
    <x v="1"/>
    <m/>
    <s v="23/24"/>
    <s v="EGRESOS"/>
    <s v="EFECTIVO Y OTROS ACT LÍQ EQ."/>
  </r>
  <r>
    <x v="4"/>
    <d v="2025-05-31T00:00:00"/>
    <s v="INTERESES EXCESO DESCUBIERTO"/>
    <m/>
    <n v="5029.55"/>
    <n v="0"/>
    <n v="-5029.55"/>
    <m/>
    <n v="1176"/>
    <n v="4.2768282312925168"/>
    <n v="0"/>
    <s v="ARS"/>
    <s v="CC"/>
    <s v="PAMPA"/>
    <x v="1"/>
    <x v="6"/>
    <x v="8"/>
    <m/>
    <m/>
    <m/>
    <x v="1"/>
    <m/>
    <s v="23/24"/>
    <s v="EGRESOS"/>
    <s v="EFECTIVO Y OTROS ACT LÍQ EQ."/>
  </r>
  <r>
    <x v="4"/>
    <d v="2025-05-31T00:00:00"/>
    <s v="IVA"/>
    <m/>
    <n v="7980"/>
    <n v="0"/>
    <n v="-7980"/>
    <m/>
    <n v="1177"/>
    <n v="6.7799490229396771"/>
    <n v="0"/>
    <s v="ARS"/>
    <s v="CC"/>
    <s v="PAMPA"/>
    <x v="1"/>
    <x v="1"/>
    <x v="1"/>
    <m/>
    <m/>
    <m/>
    <x v="1"/>
    <m/>
    <s v="23/24"/>
    <s v="EGRESOS"/>
    <s v="EFECTIVO Y OTROS ACT LÍQ EQ."/>
  </r>
  <r>
    <x v="4"/>
    <d v="2025-05-31T00:00:00"/>
    <s v="INTERESES DESCUBIERTO"/>
    <m/>
    <n v="10059.1"/>
    <n v="0"/>
    <n v="-10059.1"/>
    <m/>
    <n v="1178"/>
    <n v="8.5391341256366733"/>
    <n v="0"/>
    <s v="ARS"/>
    <s v="CC"/>
    <s v="PAMPA"/>
    <x v="1"/>
    <x v="6"/>
    <x v="8"/>
    <m/>
    <m/>
    <m/>
    <x v="1"/>
    <m/>
    <s v="23/24"/>
    <s v="EGRESOS"/>
    <s v="EFECTIVO Y OTROS ACT LÍQ EQ."/>
  </r>
  <r>
    <x v="4"/>
    <d v="2025-05-31T00:00:00"/>
    <s v="IMPUESTO DE SELLOS"/>
    <m/>
    <n v="3855.04"/>
    <n v="0"/>
    <n v="-3855.04"/>
    <m/>
    <n v="1179"/>
    <n v="3.2697540288379985"/>
    <n v="0"/>
    <s v="ARS"/>
    <s v="CC"/>
    <s v="PAMPA"/>
    <x v="1"/>
    <x v="1"/>
    <x v="1"/>
    <m/>
    <m/>
    <m/>
    <x v="1"/>
    <m/>
    <s v="23/24"/>
    <s v="EGRESOS"/>
    <s v="EFECTIVO Y OTROS ACT LÍQ EQ."/>
  </r>
  <r>
    <x v="4"/>
    <d v="2025-05-31T00:00:00"/>
    <s v="IMPUESTO DE SELLOS"/>
    <m/>
    <n v="215.55"/>
    <n v="0"/>
    <n v="-215.55"/>
    <m/>
    <n v="1180"/>
    <n v="0.18266949152542375"/>
    <n v="0"/>
    <s v="ARS"/>
    <s v="CC"/>
    <s v="PAMPA"/>
    <x v="1"/>
    <x v="1"/>
    <x v="1"/>
    <m/>
    <m/>
    <m/>
    <x v="1"/>
    <m/>
    <s v="23/24"/>
    <s v="EGRESOS"/>
    <s v="EFECTIVO Y OTROS ACT LÍQ EQ."/>
  </r>
  <r>
    <x v="4"/>
    <d v="2025-05-31T00:00:00"/>
    <s v="COM. MANTENIMIENTO DE CUENTA"/>
    <m/>
    <n v="38000"/>
    <n v="0"/>
    <n v="-38000"/>
    <m/>
    <n v="1181"/>
    <n v="32.176121930567312"/>
    <n v="0"/>
    <s v="ARS"/>
    <s v="CC"/>
    <s v="PAMPA"/>
    <x v="1"/>
    <x v="7"/>
    <x v="9"/>
    <m/>
    <m/>
    <m/>
    <x v="1"/>
    <m/>
    <s v="23/24"/>
    <s v="EGRESOS"/>
    <s v="EFECTIVO Y OTROS ACT LÍQ EQ."/>
  </r>
  <r>
    <x v="4"/>
    <d v="2025-05-31T00:00:00"/>
    <s v="IVA PERCEPCION"/>
    <m/>
    <n v="1140"/>
    <n v="0"/>
    <n v="-1140"/>
    <m/>
    <n v="1182"/>
    <n v="0.96446700507614214"/>
    <n v="0"/>
    <s v="ARS"/>
    <s v="CC"/>
    <s v="PAMPA"/>
    <x v="1"/>
    <x v="1"/>
    <x v="1"/>
    <m/>
    <m/>
    <m/>
    <x v="1"/>
    <m/>
    <s v="23/24"/>
    <s v="EGRESOS"/>
    <s v="EFECTIVO Y OTROS ACT LÍQ EQ."/>
  </r>
  <r>
    <x v="5"/>
    <d v="2025-06-12T00:00:00"/>
    <s v="DATANET EXENTO - 30708920882-G &amp; E S.A."/>
    <m/>
    <n v="0"/>
    <n v="10000000"/>
    <n v="10000000"/>
    <m/>
    <n v="1183"/>
    <n v="0"/>
    <n v="8453.0853761622984"/>
    <s v="ARS"/>
    <s v="CC"/>
    <s v="PAMPA"/>
    <x v="0"/>
    <x v="0"/>
    <x v="0"/>
    <s v="DESDE CC MACRO"/>
    <m/>
    <m/>
    <x v="0"/>
    <m/>
    <m/>
    <m/>
    <m/>
  </r>
  <r>
    <x v="5"/>
    <d v="2025-06-24T00:00:00"/>
    <s v="TRANSF. PROPIA ENVIADA PD - 30708920882-G &amp; E S.A."/>
    <m/>
    <n v="4700000"/>
    <n v="0"/>
    <n v="-4700000"/>
    <m/>
    <n v="1184"/>
    <n v="3969.5945945945946"/>
    <n v="0"/>
    <s v="ARS"/>
    <s v="CC"/>
    <s v="PAMPA"/>
    <x v="0"/>
    <x v="0"/>
    <x v="0"/>
    <s v="HACIA CC MACRO"/>
    <m/>
    <m/>
    <x v="0"/>
    <m/>
    <m/>
    <m/>
    <m/>
  </r>
  <r>
    <x v="5"/>
    <d v="2025-06-24T00:00:00"/>
    <s v="TRANSF. PROPIA ENVIADA PD - 30708920882-G &amp; E S.A."/>
    <m/>
    <n v="5000000"/>
    <n v="0"/>
    <n v="-5000000"/>
    <n v="-9667175.1799999997"/>
    <n v="1185"/>
    <n v="4219.4092827004215"/>
    <n v="0"/>
    <s v="ARS"/>
    <s v="CC"/>
    <s v="PAMPA"/>
    <x v="0"/>
    <x v="0"/>
    <x v="0"/>
    <s v="HACIA CC GALICIA"/>
    <m/>
    <m/>
    <x v="0"/>
    <m/>
    <m/>
    <m/>
    <m/>
  </r>
  <r>
    <x v="5"/>
    <d v="2025-06-25T00:00:00"/>
    <s v="IMP. DEBITOS Y CRED. POR DEBITO"/>
    <m/>
    <n v="22461.29"/>
    <m/>
    <n v="-22461.29"/>
    <m/>
    <n v="1186"/>
    <n v="18.938693086003372"/>
    <n v="0"/>
    <s v="ARS"/>
    <s v="CC"/>
    <s v="PAMPA"/>
    <x v="1"/>
    <x v="1"/>
    <x v="1"/>
    <m/>
    <m/>
    <m/>
    <x v="1"/>
    <m/>
    <s v="23/24"/>
    <s v="EGRESOS"/>
    <s v="EFECTIVO Y OTROS ACT LÍQ EQ."/>
  </r>
  <r>
    <x v="5"/>
    <d v="2025-06-25T00:00:00"/>
    <s v="DATANET EXENTO - 30708920882-G &amp; E S.A."/>
    <m/>
    <n v="0"/>
    <n v="14000000"/>
    <n v="14000000"/>
    <m/>
    <n v="1187"/>
    <n v="0"/>
    <n v="11794.439764111205"/>
    <s v="ARS"/>
    <s v="CC"/>
    <s v="PAMPA"/>
    <x v="0"/>
    <x v="0"/>
    <x v="0"/>
    <s v="HACIA CC PAMPA"/>
    <m/>
    <m/>
    <x v="0"/>
    <m/>
    <m/>
    <m/>
    <m/>
  </r>
  <r>
    <x v="5"/>
    <d v="2025-06-25T00:00:00"/>
    <s v="COBRO PRESTAMO COMERCIAL"/>
    <m/>
    <n v="3743547.5"/>
    <n v="0"/>
    <n v="-3743547.5"/>
    <n v="566816.03"/>
    <n v="1188"/>
    <n v="3151.1342592592591"/>
    <n v="0"/>
    <s v="ARS"/>
    <s v="CC"/>
    <s v="PAMPA"/>
    <x v="0"/>
    <x v="12"/>
    <x v="18"/>
    <s v="PRESTAMO PAMPA A 6MESES"/>
    <m/>
    <m/>
    <x v="11"/>
    <m/>
    <s v="24/25"/>
    <s v="CREDITOS PAMPA"/>
    <s v="EFECTIVO Y OTROS ACT LÍQ EQ."/>
  </r>
  <r>
    <x v="5"/>
    <d v="2025-06-30T00:00:00"/>
    <s v="IMP. DEBITOS Y CRED. POR DEBITO"/>
    <m/>
    <n v="930"/>
    <n v="0"/>
    <n v="-930"/>
    <m/>
    <n v="1189"/>
    <n v="0.78216989066442388"/>
    <n v="0"/>
    <s v="ARS"/>
    <s v="CC"/>
    <s v="PAMPA"/>
    <x v="1"/>
    <x v="1"/>
    <x v="1"/>
    <m/>
    <m/>
    <m/>
    <x v="1"/>
    <m/>
    <s v="23/24"/>
    <s v="EGRESOS"/>
    <s v="EFECTIVO Y OTROS ACT LÍQ EQ."/>
  </r>
  <r>
    <x v="5"/>
    <d v="2025-06-30T00:00:00"/>
    <s v="TRANSF. ENVIADA PAMPA DIGITAL "/>
    <m/>
    <n v="155000"/>
    <n v="0"/>
    <n v="-155000"/>
    <n v="410886.03"/>
    <n v="1190"/>
    <n v="130.25210084033614"/>
    <n v="0"/>
    <s v="ARS"/>
    <s v="CC"/>
    <s v="PAMPA"/>
    <x v="1"/>
    <x v="3"/>
    <x v="13"/>
    <s v="PRESTO ADRIAN PARA JORNAL Y SEGURO"/>
    <s v="MARTIN TOLEDO"/>
    <m/>
    <x v="3"/>
    <m/>
    <s v="24/25"/>
    <s v="EGRESOS"/>
    <s v="EFECTIVO Y OTROS ACT LÍQ EQ."/>
  </r>
  <r>
    <x v="5"/>
    <d v="2025-06-30T00:00:00"/>
    <s v="IVA PERCEPCION"/>
    <m/>
    <n v="1140"/>
    <n v="0"/>
    <n v="-1140"/>
    <m/>
    <n v="1191"/>
    <n v="0.95717884130982367"/>
    <n v="0"/>
    <s v="ARS"/>
    <s v="CC"/>
    <s v="PAMPA"/>
    <x v="1"/>
    <x v="1"/>
    <x v="1"/>
    <s v="PERCEPCION IVA"/>
    <m/>
    <m/>
    <x v="1"/>
    <m/>
    <s v="23/24"/>
    <s v="EGRESOS"/>
    <s v="EFECTIVO Y OTROS ACT LÍQ EQ."/>
  </r>
  <r>
    <x v="5"/>
    <d v="2025-06-30T00:00:00"/>
    <s v="COM. MANTENIMIENTO DE CUENTA"/>
    <m/>
    <n v="38000"/>
    <n v="0"/>
    <n v="-38000"/>
    <m/>
    <n v="1192"/>
    <n v="31.879194630872483"/>
    <n v="0"/>
    <s v="ARS"/>
    <s v="CC"/>
    <s v="PAMPA"/>
    <x v="1"/>
    <x v="7"/>
    <x v="9"/>
    <m/>
    <m/>
    <m/>
    <x v="1"/>
    <m/>
    <s v="23/24"/>
    <s v="EGRESOS"/>
    <s v="EFECTIVO Y OTROS ACT LÍQ EQ."/>
  </r>
  <r>
    <x v="5"/>
    <d v="2025-06-30T00:00:00"/>
    <s v="IMPUESTO DE SELLOS"/>
    <m/>
    <n v="3922.39"/>
    <n v="0"/>
    <n v="-3922.39"/>
    <m/>
    <n v="1193"/>
    <n v="3.2878373847443418"/>
    <n v="0"/>
    <s v="ARS"/>
    <s v="CC"/>
    <s v="PAMPA"/>
    <x v="1"/>
    <x v="1"/>
    <x v="1"/>
    <s v="SELLOS"/>
    <m/>
    <m/>
    <x v="1"/>
    <m/>
    <s v="23/24"/>
    <s v="EGRESOS"/>
    <s v="EFECTIVO Y OTROS ACT LÍQ EQ."/>
  </r>
  <r>
    <x v="5"/>
    <d v="2025-06-30T00:00:00"/>
    <s v="IVA"/>
    <m/>
    <n v="7980"/>
    <n v="0"/>
    <n v="-7980"/>
    <m/>
    <n v="1194"/>
    <n v="6.683417085427136"/>
    <n v="0"/>
    <s v="ARS"/>
    <s v="CC"/>
    <s v="PAMPA"/>
    <x v="1"/>
    <x v="1"/>
    <x v="1"/>
    <s v="DEBITO IVA FISCAL"/>
    <m/>
    <m/>
    <x v="1"/>
    <m/>
    <s v="23/24"/>
    <s v="EGRESOS"/>
    <s v="EFECTIVO Y OTROS ACT LÍQ EQ."/>
  </r>
  <r>
    <x v="5"/>
    <d v="2025-06-30T00:00:00"/>
    <s v="IVA 10,5%"/>
    <m/>
    <n v="19219.77"/>
    <n v="0"/>
    <n v="-19219.77"/>
    <m/>
    <n v="1195"/>
    <n v="16.083489539748953"/>
    <n v="0"/>
    <s v="ARS"/>
    <s v="CC"/>
    <s v="PAMPA"/>
    <x v="1"/>
    <x v="1"/>
    <x v="1"/>
    <s v="IVA"/>
    <m/>
    <m/>
    <x v="1"/>
    <m/>
    <s v="23/24"/>
    <s v="EGRESOS"/>
    <s v="EFECTIVO Y OTROS ACT LÍQ EQ."/>
  </r>
  <r>
    <x v="5"/>
    <d v="2025-06-30T00:00:00"/>
    <s v="IMP. DEBITOS Y CRED. POR DEBITO"/>
    <m/>
    <n v="930"/>
    <n v="0"/>
    <n v="-930"/>
    <m/>
    <n v="1196"/>
    <n v="0.77759197324414719"/>
    <n v="0"/>
    <s v="ARS"/>
    <s v="CC"/>
    <s v="PAMPA"/>
    <x v="1"/>
    <x v="1"/>
    <x v="1"/>
    <s v="DEBITO IVA FISCAL"/>
    <m/>
    <m/>
    <x v="1"/>
    <m/>
    <s v="23/24"/>
    <s v="EGRESOS"/>
    <s v="EFECTIVO Y OTROS ACT LÍQ EQ."/>
  </r>
  <r>
    <x v="5"/>
    <d v="2025-06-30T00:00:00"/>
    <s v="IMP. DEBITOS Y CRED. POR DEBITO"/>
    <m/>
    <n v="1536.31"/>
    <n v="0"/>
    <n v="-1536.31"/>
    <m/>
    <n v="1197"/>
    <n v="1.2834670008354219"/>
    <n v="0"/>
    <s v="ARS"/>
    <s v="CC"/>
    <s v="PAMPA"/>
    <x v="1"/>
    <x v="1"/>
    <x v="1"/>
    <s v="DEBITO IVA FISCAL"/>
    <m/>
    <m/>
    <x v="1"/>
    <m/>
    <s v="23/24"/>
    <s v="EGRESOS"/>
    <s v="EFECTIVO Y OTROS ACT LÍQ EQ."/>
  </r>
  <r>
    <x v="5"/>
    <d v="2025-06-30T00:00:00"/>
    <s v="INTERESES ACUERDO SALDO DEUDOR"/>
    <m/>
    <n v="183045.4"/>
    <n v="0"/>
    <n v="-183045.4"/>
    <m/>
    <n v="1198"/>
    <n v="152.79248747913189"/>
    <n v="0"/>
    <s v="ARS"/>
    <s v="CC"/>
    <s v="PAMPA"/>
    <x v="1"/>
    <x v="6"/>
    <x v="8"/>
    <m/>
    <m/>
    <m/>
    <x v="1"/>
    <m/>
    <s v="23/24"/>
    <s v="EGRESOS"/>
    <s v="EFECTIVO Y OTROS ACT LÍQ EQ."/>
  </r>
  <r>
    <x v="5"/>
    <d v="2025-06-30T00:00:00"/>
    <s v="IVA PERCEPCION ALICUOTA REDUCIDA"/>
    <m/>
    <n v="2745.68"/>
    <n v="0"/>
    <n v="-2745.68"/>
    <n v="153296.48000000001"/>
    <n v="1199"/>
    <n v="2.2899749791492909"/>
    <n v="0"/>
    <s v="ARS"/>
    <s v="CC"/>
    <s v="PAMPA"/>
    <x v="1"/>
    <x v="1"/>
    <x v="1"/>
    <s v="PERCEPCION IVA"/>
    <m/>
    <m/>
    <x v="1"/>
    <m/>
    <s v="23/24"/>
    <s v="EGRESOS"/>
    <s v="EFECTIVO Y OTROS ACT LÍQ EQ."/>
  </r>
  <r>
    <x v="5"/>
    <d v="2025-07-25T00:00:00"/>
    <s v="IMP. DEBITOS Y CRED. POR DEBITO"/>
    <m/>
    <n v="22144"/>
    <n v="0"/>
    <n v="-22144"/>
    <m/>
    <n v="1200"/>
    <n v="18.453333333333333"/>
    <n v="0"/>
    <s v="ARS"/>
    <s v="CC"/>
    <s v="PAMPA"/>
    <x v="1"/>
    <x v="1"/>
    <x v="1"/>
    <s v="DEBITO IVA FISCAL"/>
    <m/>
    <m/>
    <x v="1"/>
    <m/>
    <s v="23/24"/>
    <s v="EGRESOS"/>
    <s v="EFECTIVO Y OTROS ACT LÍQ EQ."/>
  </r>
  <r>
    <x v="5"/>
    <d v="2025-07-25T00:00:00"/>
    <s v="DATANET EXENTO - 07089208823-G &amp; E SA"/>
    <m/>
    <n v="0"/>
    <n v="3600000"/>
    <n v="3600000"/>
    <m/>
    <n v="1201"/>
    <n v="0"/>
    <n v="2997.5020815986677"/>
    <s v="ARS"/>
    <s v="CC"/>
    <s v="PAMPA"/>
    <x v="0"/>
    <x v="0"/>
    <x v="0"/>
    <s v="DESDE CC MACRO"/>
    <m/>
    <m/>
    <x v="0"/>
    <m/>
    <s v="24/25"/>
    <m/>
    <m/>
  </r>
  <r>
    <x v="5"/>
    <d v="2025-07-25T00:00:00"/>
    <s v="COBRO PRESTAMO COMERCIAL"/>
    <m/>
    <n v="3690666.26"/>
    <n v="0"/>
    <n v="-3690666.26"/>
    <m/>
    <n v="1202"/>
    <n v="3070.4378202995008"/>
    <n v="0"/>
    <s v="ARS"/>
    <s v="CC"/>
    <s v="PAMPA"/>
    <x v="0"/>
    <x v="12"/>
    <x v="19"/>
    <s v="PRESTAMO PAMPA A 6MESES"/>
    <m/>
    <m/>
    <x v="11"/>
    <m/>
    <s v="24/25"/>
    <s v="CREDITOS PAMPA"/>
    <s v="EFECTIVO Y OTROS ACT LÍQ EQ."/>
  </r>
  <r>
    <x v="5"/>
    <d v="2025-07-31T00:00:00"/>
    <s v="DATANET EXENTO - 07089208823-G &amp; E SA"/>
    <m/>
    <n v="0"/>
    <n v="8000000"/>
    <n v="8000000"/>
    <m/>
    <n v="1203"/>
    <n v="0"/>
    <n v="6650.0415627597677"/>
    <s v="ARS"/>
    <s v="CC"/>
    <s v="PAMPA"/>
    <x v="0"/>
    <x v="0"/>
    <x v="0"/>
    <s v="DESDE CC MACRO"/>
    <m/>
    <m/>
    <x v="0"/>
    <m/>
    <s v="24/25"/>
    <m/>
    <m/>
  </r>
  <r>
    <x v="5"/>
    <d v="2025-07-31T00:00:00"/>
    <s v="TRANSF. PROPIA ENVIADA PD - 30708920882-G &amp; E S.A."/>
    <m/>
    <n v="8000000"/>
    <n v="0"/>
    <n v="-8000000"/>
    <m/>
    <n v="1204"/>
    <n v="6644.5182724252491"/>
    <n v="0"/>
    <s v="ARS"/>
    <s v="CC"/>
    <s v="PAMPA"/>
    <x v="0"/>
    <x v="0"/>
    <x v="0"/>
    <s v="HACIA CC MACRO"/>
    <m/>
    <m/>
    <x v="0"/>
    <m/>
    <s v="24/25"/>
    <m/>
    <m/>
  </r>
  <r>
    <x v="0"/>
    <d v="2025-01-02T00:00:00"/>
    <s v="PAGO PRESTAMO"/>
    <m/>
    <n v="1830361.64"/>
    <n v="0"/>
    <n v="-1830361.64"/>
    <m/>
    <n v="1140"/>
    <n v="1605.5803859649122"/>
    <n v="0"/>
    <s v="ARS"/>
    <s v="CC"/>
    <s v="NACION"/>
    <x v="0"/>
    <x v="12"/>
    <x v="20"/>
    <s v="ULTIMA CUOTA DE PRESTAMO PASADO"/>
    <m/>
    <m/>
    <x v="12"/>
    <m/>
    <s v="22/23"/>
    <s v="AMORT. CREDITOS"/>
    <s v="EFECTIVO Y OTROS ACT LÍQ EQ."/>
  </r>
  <r>
    <x v="0"/>
    <d v="2025-01-02T00:00:00"/>
    <s v="COMISION PAQUETES"/>
    <m/>
    <n v="23400"/>
    <n v="0"/>
    <n v="-23400"/>
    <m/>
    <n v="1140"/>
    <n v="20.526315789473685"/>
    <n v="0"/>
    <s v="ARS"/>
    <s v="CC"/>
    <s v="NACION"/>
    <x v="1"/>
    <x v="7"/>
    <x v="9"/>
    <m/>
    <m/>
    <m/>
    <x v="1"/>
    <m/>
    <s v="23/24"/>
    <s v="EGRESOS"/>
    <s v="EFECTIVO Y OTROS ACT LÍQ EQ."/>
  </r>
  <r>
    <x v="0"/>
    <d v="2025-01-02T00:00:00"/>
    <s v="I.V.A. BASE"/>
    <m/>
    <n v="4914"/>
    <n v="0"/>
    <n v="-4914"/>
    <m/>
    <n v="1140"/>
    <n v="4.310526315789474"/>
    <n v="0"/>
    <s v="ARS"/>
    <s v="CC"/>
    <s v="NACION"/>
    <x v="1"/>
    <x v="1"/>
    <x v="1"/>
    <s v="DEBITO IVA FISCAL"/>
    <m/>
    <m/>
    <x v="1"/>
    <m/>
    <s v="23/24"/>
    <s v="EGRESOS"/>
    <s v="EFECTIVO Y OTROS ACT LÍQ EQ."/>
  </r>
  <r>
    <x v="0"/>
    <d v="2025-01-02T00:00:00"/>
    <s v="RETEN. I.V.A. RG.2408"/>
    <m/>
    <n v="702"/>
    <n v="0"/>
    <n v="-702"/>
    <m/>
    <n v="1140"/>
    <n v="0.61578947368421055"/>
    <n v="0"/>
    <s v="ARS"/>
    <s v="CC"/>
    <s v="NACION"/>
    <x v="1"/>
    <x v="1"/>
    <x v="1"/>
    <s v="RETENCIONES"/>
    <m/>
    <m/>
    <x v="1"/>
    <m/>
    <s v="23/24"/>
    <s v="EGRESOS"/>
    <s v="EFECTIVO Y OTROS ACT LÍQ EQ."/>
  </r>
  <r>
    <x v="0"/>
    <d v="2025-01-02T00:00:00"/>
    <s v="GRAVAMEN LEY 25413 S/DEB"/>
    <m/>
    <n v="10982.17"/>
    <n v="0"/>
    <n v="-10982.17"/>
    <m/>
    <n v="1140"/>
    <n v="9.6334824561403511"/>
    <n v="0"/>
    <s v="ARS"/>
    <s v="CC"/>
    <s v="NACION"/>
    <x v="1"/>
    <x v="1"/>
    <x v="1"/>
    <s v="TASA GRAL"/>
    <m/>
    <m/>
    <x v="1"/>
    <m/>
    <s v="23/24"/>
    <s v="EGRESOS"/>
    <s v="EFECTIVO Y OTROS ACT LÍQ EQ."/>
  </r>
  <r>
    <x v="0"/>
    <d v="2025-01-02T00:00:00"/>
    <s v="GRAVAMEN LEY 25413 S/DEB"/>
    <m/>
    <n v="140.4"/>
    <n v="0"/>
    <n v="-140.4"/>
    <m/>
    <n v="1140"/>
    <n v="0.12315789473684211"/>
    <n v="0"/>
    <s v="ARS"/>
    <s v="CC"/>
    <s v="NACION"/>
    <x v="1"/>
    <x v="1"/>
    <x v="1"/>
    <s v="TASA GRAL"/>
    <m/>
    <m/>
    <x v="1"/>
    <m/>
    <s v="23/24"/>
    <s v="EGRESOS"/>
    <s v="EFECTIVO Y OTROS ACT LÍQ EQ."/>
  </r>
  <r>
    <x v="0"/>
    <d v="2025-01-02T00:00:00"/>
    <s v="GRAVAMEN LEY 25413 S/DEB"/>
    <m/>
    <n v="29.48"/>
    <n v="0"/>
    <n v="-29.48"/>
    <m/>
    <n v="1140"/>
    <n v="2.5859649122807016E-2"/>
    <n v="0"/>
    <s v="ARS"/>
    <s v="CC"/>
    <s v="NACION"/>
    <x v="1"/>
    <x v="1"/>
    <x v="1"/>
    <s v="TASA GRAL"/>
    <m/>
    <m/>
    <x v="1"/>
    <m/>
    <s v="23/24"/>
    <s v="EGRESOS"/>
    <s v="EFECTIVO Y OTROS ACT LÍQ EQ."/>
  </r>
  <r>
    <x v="0"/>
    <d v="2025-01-02T00:00:00"/>
    <s v="GRAVAMEN LEY 25413 S/DEB"/>
    <m/>
    <n v="4.21"/>
    <n v="0"/>
    <n v="-4.21"/>
    <m/>
    <n v="1140"/>
    <n v="3.6929824561403508E-3"/>
    <n v="0"/>
    <s v="ARS"/>
    <s v="CC"/>
    <s v="NACION"/>
    <x v="1"/>
    <x v="1"/>
    <x v="1"/>
    <s v="TASA GRAL"/>
    <m/>
    <m/>
    <x v="1"/>
    <m/>
    <s v="23/24"/>
    <s v="EGRESOS"/>
    <s v="EFECTIVO Y OTROS ACT LÍQ EQ."/>
  </r>
  <r>
    <x v="0"/>
    <d v="2025-01-21T00:00:00"/>
    <s v="48HS. BANCOS"/>
    <m/>
    <n v="534221"/>
    <n v="0"/>
    <n v="-534221"/>
    <m/>
    <n v="1140"/>
    <n v="468.61491228070173"/>
    <n v="0"/>
    <s v="ARS"/>
    <s v="CC"/>
    <s v="NACION"/>
    <x v="5"/>
    <x v="13"/>
    <x v="21"/>
    <s v="HACIENDA"/>
    <s v="TARQUINO "/>
    <s v="FA81,13,29,99,32,57"/>
    <x v="4"/>
    <m/>
    <s v="23/24"/>
    <s v="BIENES Y SERVICIOS"/>
    <s v="EFECTIVO Y OTROS ACT LÍQ EQ."/>
  </r>
  <r>
    <x v="0"/>
    <d v="2025-01-21T00:00:00"/>
    <s v="GRAVAMEN LEY 25413 S/DEB"/>
    <m/>
    <n v="3205.33"/>
    <n v="0"/>
    <n v="-3205.33"/>
    <n v="-2977642.19"/>
    <n v="1140"/>
    <n v="2.8116929824561403"/>
    <n v="0"/>
    <s v="ARS"/>
    <s v="CC"/>
    <s v="NACION"/>
    <x v="1"/>
    <x v="1"/>
    <x v="1"/>
    <s v="TASA GRAL"/>
    <m/>
    <m/>
    <x v="1"/>
    <m/>
    <s v="23/24"/>
    <s v="EGRESOS"/>
    <s v="EFECTIVO Y OTROS ACT LÍQ EQ."/>
  </r>
  <r>
    <x v="0"/>
    <d v="2025-01-23T00:00:00"/>
    <s v="TRANSF. MACRONLINE E-SET M/T"/>
    <m/>
    <n v="0"/>
    <n v="3000000"/>
    <n v="3000000"/>
    <n v="19152.400000000001"/>
    <n v="1140"/>
    <n v="0"/>
    <n v="2631.5789473684213"/>
    <s v="ARS"/>
    <s v="CC"/>
    <s v="NACION"/>
    <x v="0"/>
    <x v="0"/>
    <x v="0"/>
    <s v="DESDE EL MACR"/>
    <m/>
    <m/>
    <x v="0"/>
    <m/>
    <s v="24/25"/>
    <m/>
    <m/>
  </r>
  <r>
    <x v="0"/>
    <d v="2025-01-24T00:00:00"/>
    <s v="RETIRO POR CAJA PARA PAGOS"/>
    <m/>
    <n v="1000000"/>
    <n v="0"/>
    <n v="-1000000"/>
    <m/>
    <n v="1140"/>
    <n v="877.19298245614038"/>
    <n v="0"/>
    <s v="ARS"/>
    <s v="CC"/>
    <s v="NACION"/>
    <x v="3"/>
    <x v="14"/>
    <x v="22"/>
    <m/>
    <s v="RUSO MALDONADO"/>
    <m/>
    <x v="5"/>
    <m/>
    <s v="24/25"/>
    <s v="BIENES DE USO"/>
    <s v="EFECTIVO Y OTROS ACT LÍQ EQ."/>
  </r>
  <r>
    <x v="0"/>
    <d v="2025-01-24T00:00:00"/>
    <s v="RETIRO POR CAJA PARA PAGOS"/>
    <m/>
    <n v="700000"/>
    <n v="0"/>
    <n v="-700000"/>
    <m/>
    <n v="1140"/>
    <n v="614.03508771929819"/>
    <n v="0"/>
    <s v="ARS"/>
    <s v="CC"/>
    <s v="NACION"/>
    <x v="2"/>
    <x v="4"/>
    <x v="5"/>
    <s v="DESYUYADOR"/>
    <s v="ALDO DIAZ"/>
    <m/>
    <x v="5"/>
    <m/>
    <s v="24/25"/>
    <s v="BIENES Y SERVICIOS"/>
    <s v="EFECTIVO Y OTROS ACT LÍQ EQ."/>
  </r>
  <r>
    <x v="0"/>
    <d v="2025-01-24T00:00:00"/>
    <s v="RETIRO POR CAJA PARA PAGOS"/>
    <m/>
    <n v="23371.439999999999"/>
    <n v="0"/>
    <n v="-23371.439999999999"/>
    <m/>
    <n v="1140"/>
    <n v="20.501263157894737"/>
    <n v="0"/>
    <s v="ARS"/>
    <s v="CC"/>
    <s v="NACION"/>
    <x v="1"/>
    <x v="3"/>
    <x v="3"/>
    <s v="UATRE"/>
    <s v="ANDRES TOLEDO"/>
    <m/>
    <x v="3"/>
    <m/>
    <s v="24/25"/>
    <s v="EGRESOS"/>
    <s v="EFECTIVO Y OTROS ACT LÍQ EQ."/>
  </r>
  <r>
    <x v="0"/>
    <d v="2025-01-24T00:00:00"/>
    <s v="RETIRO POR CAJA PARA PAGOS"/>
    <m/>
    <n v="26628.560000000001"/>
    <n v="0"/>
    <n v="-26628.560000000001"/>
    <n v="-1741347.52"/>
    <n v="1140"/>
    <n v="23.358385964912284"/>
    <n v="0"/>
    <s v="ARS"/>
    <s v="CC"/>
    <s v="NACION"/>
    <x v="1"/>
    <x v="2"/>
    <x v="2"/>
    <s v="RESTO DEL1,7 M QUE SE RETIRO DEL BANCO"/>
    <s v="RAUL"/>
    <m/>
    <x v="2"/>
    <s v="RAUL"/>
    <s v="24/25"/>
    <s v="FUTURAS UT. ADL RAUL"/>
    <s v="EFECTIVO Y OTROS ACT LÍQ EQ."/>
  </r>
  <r>
    <x v="0"/>
    <d v="2025-01-24T00:00:00"/>
    <s v="GRAVAMEN LEY 25413 S/DEB"/>
    <m/>
    <n v="10500"/>
    <n v="0"/>
    <n v="-10500"/>
    <n v="-1822212.88"/>
    <n v="1140"/>
    <n v="9.2105263157894743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0"/>
    <d v="2025-01-28T00:00:00"/>
    <s v="INTERESES"/>
    <m/>
    <n v="80865.36"/>
    <n v="0"/>
    <n v="-80865.36"/>
    <m/>
    <n v="1140"/>
    <n v="70.934526315789469"/>
    <n v="0"/>
    <s v="ARS"/>
    <s v="CC"/>
    <s v="NACION"/>
    <x v="1"/>
    <x v="6"/>
    <x v="8"/>
    <m/>
    <m/>
    <m/>
    <x v="1"/>
    <m/>
    <s v="24/25"/>
    <s v="EGRESOS"/>
    <s v="EFECTIVO Y OTROS ACT LÍQ EQ."/>
  </r>
  <r>
    <x v="0"/>
    <d v="2025-01-28T00:00:00"/>
    <s v="GRAVAMEN LEY 25413 S/DEB"/>
    <m/>
    <n v="485.19"/>
    <n v="0"/>
    <n v="-485.19"/>
    <n v="-1822212.88"/>
    <n v="1140"/>
    <n v="0.42560526315789471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1"/>
    <d v="2025-02-03T00:00:00"/>
    <s v="COMISION PAQUETES"/>
    <m/>
    <n v="23400"/>
    <n v="0"/>
    <n v="-23400"/>
    <m/>
    <n v="1140"/>
    <n v="20.526315789473685"/>
    <n v="0"/>
    <s v="ARS"/>
    <s v="CC"/>
    <s v="NACION"/>
    <x v="1"/>
    <x v="7"/>
    <x v="9"/>
    <m/>
    <m/>
    <m/>
    <x v="1"/>
    <m/>
    <s v="24/25"/>
    <s v="EGRESOS"/>
    <s v="EFECTIVO Y OTROS ACT LÍQ EQ."/>
  </r>
  <r>
    <x v="1"/>
    <d v="2025-02-03T00:00:00"/>
    <s v="I.V.A. BASE"/>
    <m/>
    <n v="4914"/>
    <n v="0"/>
    <n v="-4914"/>
    <m/>
    <n v="1140"/>
    <n v="4.310526315789474"/>
    <n v="0"/>
    <s v="ARS"/>
    <s v="CC"/>
    <s v="NACION"/>
    <x v="1"/>
    <x v="1"/>
    <x v="1"/>
    <s v="DEBITO IVA FISCAL"/>
    <m/>
    <m/>
    <x v="1"/>
    <m/>
    <s v="24/25"/>
    <s v="EGRESOS"/>
    <s v="EFECTIVO Y OTROS ACT LÍQ EQ."/>
  </r>
  <r>
    <x v="1"/>
    <d v="2025-02-03T00:00:00"/>
    <s v="RETEN. I.V.A. RG.2408"/>
    <m/>
    <n v="702"/>
    <n v="0"/>
    <n v="-702"/>
    <m/>
    <n v="1140"/>
    <n v="0.61578947368421055"/>
    <n v="0"/>
    <s v="ARS"/>
    <s v="CC"/>
    <s v="NACION"/>
    <x v="1"/>
    <x v="1"/>
    <x v="1"/>
    <s v="RETENCIONES"/>
    <m/>
    <m/>
    <x v="1"/>
    <m/>
    <s v="24/25"/>
    <s v="EGRESOS"/>
    <s v="EFECTIVO Y OTROS ACT LÍQ EQ."/>
  </r>
  <r>
    <x v="1"/>
    <d v="2025-02-03T00:00:00"/>
    <s v="GRAVAMEN LEY 25413 S/DEB"/>
    <m/>
    <n v="140.4"/>
    <n v="0"/>
    <n v="-140.4"/>
    <m/>
    <n v="1140"/>
    <n v="0.12315789473684211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1"/>
    <d v="2025-02-03T00:00:00"/>
    <s v="GRAVAMEN LEY 25413 S/DEB"/>
    <m/>
    <n v="29.48"/>
    <n v="0"/>
    <n v="-29.48"/>
    <m/>
    <n v="1140"/>
    <n v="2.5859649122807016E-2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1"/>
    <d v="2025-02-03T00:00:00"/>
    <s v="GRAVAMEN LEY 25413 S/DEB"/>
    <m/>
    <n v="4.21"/>
    <n v="0"/>
    <n v="-4.21"/>
    <n v="-1851888.16"/>
    <n v="1140"/>
    <n v="3.6929824561403508E-3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1"/>
    <d v="2025-02-10T00:00:00"/>
    <s v="DEB.TRAN.INTERBMISMO TIT"/>
    <m/>
    <n v="1000000"/>
    <n v="0"/>
    <n v="-1000000"/>
    <m/>
    <n v="1140"/>
    <n v="877.19298245614038"/>
    <n v="0"/>
    <s v="ARS"/>
    <s v="CC"/>
    <s v="NACION"/>
    <x v="1"/>
    <x v="2"/>
    <x v="23"/>
    <s v="UTILIDADES FUTURAS"/>
    <s v="MONICA ERRECALDE"/>
    <m/>
    <x v="13"/>
    <s v="MONICA"/>
    <s v="24/25"/>
    <s v="FUTURAS UT. ADL MONICA"/>
    <s v="EFECTIVO Y OTROS ACT LÍQ EQ."/>
  </r>
  <r>
    <x v="1"/>
    <d v="2025-02-10T00:00:00"/>
    <s v="GRAVAMEN LEY 25413 S/DEB"/>
    <m/>
    <n v="6000"/>
    <n v="0"/>
    <n v="-6000"/>
    <n v="142111.84"/>
    <n v="1140"/>
    <n v="5.2631578947368425"/>
    <n v="0"/>
    <s v="ARS"/>
    <s v="CC"/>
    <s v="NACION"/>
    <x v="1"/>
    <x v="1"/>
    <x v="1"/>
    <s v="DEBITO IVA FISCAL"/>
    <m/>
    <m/>
    <x v="1"/>
    <m/>
    <s v="24/25"/>
    <s v="EGRESOS"/>
    <s v="EFECTIVO Y OTROS ACT LÍQ EQ."/>
  </r>
  <r>
    <x v="1"/>
    <d v="2025-02-12T00:00:00"/>
    <s v="CAM.FED.DIST.PZA. O/BCOS."/>
    <m/>
    <n v="0"/>
    <n v="607040"/>
    <n v="607040"/>
    <m/>
    <n v="1140"/>
    <n v="0"/>
    <n v="532.49122807017545"/>
    <s v="ARS"/>
    <s v="CC"/>
    <s v="NACION"/>
    <x v="2"/>
    <x v="4"/>
    <x v="5"/>
    <s v="BPAS"/>
    <s v="MINISTERIO DE AGROINDUSTRIA CORDOBA"/>
    <m/>
    <x v="14"/>
    <m/>
    <s v="24/25"/>
    <s v="EFECTIVO Y OTROS ACT LÍQ EQ."/>
    <s v="INGRESOS"/>
  </r>
  <r>
    <x v="1"/>
    <d v="2025-02-12T00:00:00"/>
    <s v="COMIS. CANJE O/BANCOS"/>
    <m/>
    <n v="3035.2"/>
    <n v="0"/>
    <n v="-3035.2"/>
    <m/>
    <n v="1140"/>
    <n v="2.6624561403508769"/>
    <n v="0"/>
    <s v="ARS"/>
    <s v="CC"/>
    <s v="NACION"/>
    <x v="1"/>
    <x v="7"/>
    <x v="9"/>
    <m/>
    <m/>
    <m/>
    <x v="1"/>
    <m/>
    <s v="24/25"/>
    <s v="EGRESOS"/>
    <s v="EFECTIVO Y OTROS ACT LÍQ EQ."/>
  </r>
  <r>
    <x v="1"/>
    <d v="2025-02-12T00:00:00"/>
    <s v="I.V.A. BASE"/>
    <m/>
    <n v="637.39"/>
    <n v="0"/>
    <n v="-637.39"/>
    <m/>
    <n v="1140"/>
    <n v="0.55911403508771929"/>
    <n v="0"/>
    <s v="ARS"/>
    <s v="CC"/>
    <s v="NACION"/>
    <x v="1"/>
    <x v="1"/>
    <x v="1"/>
    <s v="DEBITO IVA FISCAL"/>
    <m/>
    <m/>
    <x v="1"/>
    <m/>
    <s v="24/25"/>
    <s v="EGRESOS"/>
    <s v="EFECTIVO Y OTROS ACT LÍQ EQ."/>
  </r>
  <r>
    <x v="1"/>
    <d v="2025-02-12T00:00:00"/>
    <s v="RETEN. I.V.A. RG.2408"/>
    <m/>
    <n v="91.06"/>
    <n v="0"/>
    <n v="-91.06"/>
    <m/>
    <n v="1140"/>
    <n v="7.9877192982456144E-2"/>
    <n v="0"/>
    <s v="ARS"/>
    <s v="CC"/>
    <s v="NACION"/>
    <x v="1"/>
    <x v="1"/>
    <x v="1"/>
    <s v="RETENCIONES"/>
    <m/>
    <m/>
    <x v="1"/>
    <m/>
    <s v="24/25"/>
    <s v="EGRESOS"/>
    <s v="EFECTIVO Y OTROS ACT LÍQ EQ."/>
  </r>
  <r>
    <x v="1"/>
    <d v="2025-02-12T00:00:00"/>
    <s v="GRAVAMEN LEY 25413 S/CRED"/>
    <m/>
    <n v="3642.24"/>
    <n v="0"/>
    <n v="-3642.24"/>
    <m/>
    <n v="1140"/>
    <n v="3.1949473684210523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1"/>
    <d v="2025-02-12T00:00:00"/>
    <s v="GRAVAMEN LEY 25413 S/DEB"/>
    <m/>
    <n v="18.21"/>
    <n v="0"/>
    <n v="-18.21"/>
    <m/>
    <n v="1140"/>
    <n v="1.5973684210526317E-2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1"/>
    <d v="2025-02-12T00:00:00"/>
    <s v="GRAVAMEN LEY 25413 S/DEB"/>
    <m/>
    <n v="3.82"/>
    <n v="0"/>
    <n v="-3.82"/>
    <m/>
    <n v="1140"/>
    <n v="3.3508771929824559E-3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1"/>
    <d v="2025-02-12T00:00:00"/>
    <s v="GRAVAMEN LEY 25413 S/DEB"/>
    <m/>
    <n v="0.55000000000000004"/>
    <n v="0"/>
    <n v="-0.55000000000000004"/>
    <m/>
    <n v="1140"/>
    <n v="4.8245614035087722E-4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1"/>
    <d v="2025-02-17T00:00:00"/>
    <s v="GRAVAMEN LEY 25413 S/DEB"/>
    <m/>
    <n v="2172"/>
    <n v="0"/>
    <n v="-2172"/>
    <m/>
    <n v="1140"/>
    <n v="1.9052631578947368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1"/>
    <d v="2025-02-20T00:00:00"/>
    <s v="DEB.TRAN.INTERBMISMO TIT"/>
    <m/>
    <n v="60000"/>
    <n v="0"/>
    <n v="-60000"/>
    <m/>
    <n v="1140"/>
    <n v="52.631578947368418"/>
    <n v="0"/>
    <s v="ARS"/>
    <s v="CC"/>
    <s v="NACION"/>
    <x v="1"/>
    <x v="3"/>
    <x v="13"/>
    <s v="JORNAL"/>
    <s v="JORGE SUAREZ"/>
    <m/>
    <x v="3"/>
    <m/>
    <s v="24/25"/>
    <s v="BIENES Y SERVICIOS"/>
    <s v="EFECTIVO Y OTROS ACT LÍQ EQ."/>
  </r>
  <r>
    <x v="1"/>
    <d v="2025-02-20T00:00:00"/>
    <s v="DEB.TRAN.INTERBMISMO TIT"/>
    <m/>
    <n v="4582.87"/>
    <n v="0"/>
    <n v="-4582.87"/>
    <m/>
    <n v="1140"/>
    <n v="4.0200614035087714"/>
    <n v="0"/>
    <s v="ARS"/>
    <s v="CC"/>
    <s v="NACION"/>
    <x v="1"/>
    <x v="3"/>
    <x v="3"/>
    <s v="SEGURO"/>
    <s v="JORGE SUAREZ"/>
    <m/>
    <x v="3"/>
    <m/>
    <s v="24/25"/>
    <s v="BIENES Y SERVICIOS"/>
    <s v="EFECTIVO Y OTROS ACT LÍQ EQ."/>
  </r>
  <r>
    <x v="1"/>
    <d v="2025-02-20T00:00:00"/>
    <s v="DEB.TRAN.INTERBMISMO TIT"/>
    <m/>
    <n v="4071.96"/>
    <n v="0"/>
    <n v="-4071.96"/>
    <m/>
    <n v="1140"/>
    <n v="3.5718947368421055"/>
    <n v="0"/>
    <s v="ARS"/>
    <s v="CC"/>
    <s v="NACION"/>
    <x v="1"/>
    <x v="3"/>
    <x v="3"/>
    <s v="JORNAL"/>
    <s v="IGNACIO MALDONADO"/>
    <m/>
    <x v="3"/>
    <m/>
    <s v="24/25"/>
    <s v="BIENES Y SERVICIOS"/>
    <s v="EFECTIVO Y OTROS ACT LÍQ EQ."/>
  </r>
  <r>
    <x v="1"/>
    <d v="2025-02-20T00:00:00"/>
    <s v="DEB.TRAN.INTERBMISMO TIT"/>
    <m/>
    <n v="23000"/>
    <n v="0"/>
    <n v="-23000"/>
    <m/>
    <n v="1140"/>
    <n v="20.17543859649123"/>
    <n v="0"/>
    <s v="ARS"/>
    <s v="CC"/>
    <s v="NACION"/>
    <x v="1"/>
    <x v="3"/>
    <x v="3"/>
    <s v="UATRE"/>
    <s v="ANDRES TOLEDO"/>
    <m/>
    <x v="3"/>
    <m/>
    <s v="24/25"/>
    <s v="EGRESOS"/>
    <s v="EFECTIVO Y OTROS ACT LÍQ EQ."/>
  </r>
  <r>
    <x v="1"/>
    <d v="2025-02-20T00:00:00"/>
    <s v="DEB.TRAN.INTERBMISMO TIT"/>
    <m/>
    <n v="92712"/>
    <n v="0"/>
    <n v="-92712"/>
    <m/>
    <n v="1140"/>
    <n v="81.326315789473682"/>
    <n v="0"/>
    <s v="ARS"/>
    <s v="CC"/>
    <s v="NACION"/>
    <x v="3"/>
    <x v="5"/>
    <x v="24"/>
    <m/>
    <s v="DIRECTV"/>
    <m/>
    <x v="1"/>
    <m/>
    <s v="24/25"/>
    <s v="BIENES Y SERVICIOS"/>
    <s v="EFECTIVO Y OTROS ACT LÍQ EQ."/>
  </r>
  <r>
    <x v="1"/>
    <d v="2025-02-20T00:00:00"/>
    <s v="GRAVAMEN LEY 25413 S/DEB"/>
    <m/>
    <n v="1106.4000000000001"/>
    <n v="0"/>
    <n v="-1106.4000000000001"/>
    <n v="-2809118.73"/>
    <n v="1140"/>
    <n v="0.97052631578947379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1"/>
    <d v="2025-02-27T00:00:00"/>
    <s v="INTERESES"/>
    <m/>
    <n v="93475.39"/>
    <n v="0"/>
    <n v="-93475.39"/>
    <m/>
    <n v="1140"/>
    <n v="81.99595614035087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1"/>
    <d v="2025-02-27T00:00:00"/>
    <s v="GRAVAMEN LEY 25413 S/DEB"/>
    <m/>
    <n v="560.85"/>
    <n v="0"/>
    <n v="-560.85"/>
    <m/>
    <n v="1140"/>
    <n v="0.49197368421052634"/>
    <n v="0"/>
    <s v="ARS"/>
    <s v="CC"/>
    <s v="NACION"/>
    <x v="1"/>
    <x v="6"/>
    <x v="8"/>
    <m/>
    <m/>
    <m/>
    <x v="1"/>
    <m/>
    <s v="24/25"/>
    <s v="EGRESOS"/>
    <s v="EFECTIVO Y OTROS ACT LÍQ EQ."/>
  </r>
  <r>
    <x v="2"/>
    <d v="2025-03-05T00:00:00"/>
    <s v="DEB.TRAN.INTERBMISMO TIT"/>
    <m/>
    <n v="90000"/>
    <n v="0"/>
    <n v="-90000"/>
    <m/>
    <n v="1140"/>
    <n v="78.94736842105263"/>
    <n v="0"/>
    <s v="ARS"/>
    <s v="CC"/>
    <s v="NACION"/>
    <x v="0"/>
    <x v="0"/>
    <x v="0"/>
    <s v="HACIA EL MACRO"/>
    <m/>
    <m/>
    <x v="0"/>
    <m/>
    <s v="24/25"/>
    <m/>
    <m/>
  </r>
  <r>
    <x v="2"/>
    <d v="2025-03-05T00:00:00"/>
    <s v="DEP.EFECTIVO"/>
    <m/>
    <n v="0"/>
    <n v="350000"/>
    <n v="350000"/>
    <m/>
    <n v="1140"/>
    <n v="0"/>
    <n v="307.01754385964909"/>
    <s v="ARS"/>
    <s v="CC"/>
    <s v="NACION"/>
    <x v="1"/>
    <x v="11"/>
    <x v="14"/>
    <s v="BECERRA ADRIAN"/>
    <s v="BECERRA ADRIAN"/>
    <m/>
    <x v="10"/>
    <m/>
    <s v="24/25"/>
    <s v="EFECTIVO Y OTROS ACT LÍQ EQ."/>
    <s v="DEUDAS FINANCIERAS CP"/>
  </r>
  <r>
    <x v="2"/>
    <d v="2025-03-05T00:00:00"/>
    <s v="DEB.TRAN.INTERBMISMO TIT"/>
    <m/>
    <n v="350000"/>
    <n v="0"/>
    <n v="-350000"/>
    <m/>
    <n v="1140"/>
    <n v="307.01754385964909"/>
    <n v="0"/>
    <s v="ARS"/>
    <s v="CC"/>
    <s v="NACION"/>
    <x v="0"/>
    <x v="0"/>
    <x v="0"/>
    <s v="HACIA EL MACRO"/>
    <m/>
    <m/>
    <x v="0"/>
    <m/>
    <s v="24/25"/>
    <m/>
    <m/>
  </r>
  <r>
    <x v="2"/>
    <d v="2025-03-05T00:00:00"/>
    <s v="COMISION PAQUETES"/>
    <m/>
    <n v="27000"/>
    <n v="0"/>
    <n v="-27000"/>
    <m/>
    <n v="1140"/>
    <n v="23.684210526315791"/>
    <n v="0"/>
    <s v="ARS"/>
    <s v="CC"/>
    <s v="NACION"/>
    <x v="1"/>
    <x v="7"/>
    <x v="9"/>
    <m/>
    <m/>
    <m/>
    <x v="1"/>
    <m/>
    <s v="24/25"/>
    <s v="EGRESOS"/>
    <s v="EFECTIVO Y OTROS ACT LÍQ EQ."/>
  </r>
  <r>
    <x v="2"/>
    <d v="2025-03-05T00:00:00"/>
    <s v="I.V.A. BASE"/>
    <m/>
    <n v="5670"/>
    <n v="0"/>
    <n v="-5670"/>
    <m/>
    <n v="1140"/>
    <n v="4.9736842105263159"/>
    <n v="0"/>
    <s v="ARS"/>
    <s v="CC"/>
    <s v="NACION"/>
    <x v="1"/>
    <x v="1"/>
    <x v="1"/>
    <s v="IVA"/>
    <m/>
    <m/>
    <x v="1"/>
    <m/>
    <s v="24/25"/>
    <s v="EGRESOS"/>
    <s v="EFECTIVO Y OTROS ACT LÍQ EQ."/>
  </r>
  <r>
    <x v="2"/>
    <d v="2025-03-05T00:00:00"/>
    <s v="RETEN. I.V.A. RG.2408"/>
    <m/>
    <n v="810"/>
    <n v="0"/>
    <n v="-810"/>
    <m/>
    <n v="1140"/>
    <n v="0.71052631578947367"/>
    <n v="0"/>
    <s v="ARS"/>
    <s v="CC"/>
    <s v="NACION"/>
    <x v="1"/>
    <x v="1"/>
    <x v="1"/>
    <s v="RETENCIONES"/>
    <m/>
    <m/>
    <x v="1"/>
    <m/>
    <s v="24/25"/>
    <s v="EGRESOS"/>
    <s v="EFECTIVO Y OTROS ACT LÍQ EQ."/>
  </r>
  <r>
    <x v="2"/>
    <d v="2025-03-05T00:00:00"/>
    <s v="GRAVAMEN LEY 25413 S/CRED"/>
    <m/>
    <n v="2100"/>
    <n v="0"/>
    <n v="-2100"/>
    <m/>
    <n v="1140"/>
    <n v="1.8421052631578947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2"/>
    <d v="2025-03-05T00:00:00"/>
    <s v="GRAVAMEN LEY 25413 S/DEB"/>
    <m/>
    <n v="162"/>
    <n v="0"/>
    <n v="-162"/>
    <m/>
    <n v="1140"/>
    <n v="0.14210526315789473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2"/>
    <d v="2025-03-05T00:00:00"/>
    <s v="GRAVAMEN LEY 25413 S/DEB"/>
    <m/>
    <n v="34.020000000000003"/>
    <n v="0"/>
    <n v="-34.020000000000003"/>
    <m/>
    <n v="1140"/>
    <n v="2.9842105263157899E-2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2"/>
    <d v="2025-03-05T00:00:00"/>
    <s v="GRAVAMEN LEY 25413 S/DEB"/>
    <m/>
    <n v="4.8600000000000003"/>
    <n v="0"/>
    <n v="-4.8600000000000003"/>
    <m/>
    <n v="1140"/>
    <n v="4.263157894736842E-3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2"/>
    <d v="2025-03-06T00:00:00"/>
    <s v="DEP.EFECTIVO"/>
    <m/>
    <n v="0"/>
    <n v="2700000"/>
    <n v="2700000"/>
    <m/>
    <n v="1140"/>
    <n v="0"/>
    <n v="2368.4210526315787"/>
    <s v="ARS"/>
    <s v="CC"/>
    <s v="NACION"/>
    <x v="1"/>
    <x v="2"/>
    <x v="14"/>
    <m/>
    <s v="RAUL"/>
    <m/>
    <x v="8"/>
    <s v="RAUL"/>
    <s v="24/25"/>
    <s v="EFECTIVO Y OTROS ACT LÍQ EQ."/>
    <s v="APORTES DE CAPITAL"/>
  </r>
  <r>
    <x v="2"/>
    <d v="2025-03-06T00:00:00"/>
    <s v="DEB.TRAN.INTERBMISMO TIT"/>
    <m/>
    <n v="2670000"/>
    <n v="0"/>
    <n v="-2670000"/>
    <m/>
    <n v="1140"/>
    <n v="2342.1052631578946"/>
    <n v="0"/>
    <s v="ARS"/>
    <s v="CC"/>
    <s v="NACION"/>
    <x v="0"/>
    <x v="0"/>
    <x v="0"/>
    <s v="HACIA EL MACRO"/>
    <m/>
    <m/>
    <x v="0"/>
    <m/>
    <s v="24/25"/>
    <m/>
    <m/>
  </r>
  <r>
    <x v="2"/>
    <d v="2025-03-06T00:00:00"/>
    <s v="COMIS.TRANSF.NE24"/>
    <m/>
    <n v="956"/>
    <n v="0"/>
    <n v="-956"/>
    <m/>
    <n v="1140"/>
    <n v="0.83859649122807023"/>
    <n v="0"/>
    <s v="ARS"/>
    <s v="CC"/>
    <s v="NACION"/>
    <x v="1"/>
    <x v="7"/>
    <x v="9"/>
    <m/>
    <m/>
    <m/>
    <x v="1"/>
    <m/>
    <s v="24/25"/>
    <s v="EGRESOS"/>
    <s v="EFECTIVO Y OTROS ACT LÍQ EQ."/>
  </r>
  <r>
    <x v="2"/>
    <d v="2025-03-06T00:00:00"/>
    <s v="I.V.A. BASE"/>
    <m/>
    <n v="200.76"/>
    <n v="0"/>
    <n v="-200.76"/>
    <m/>
    <n v="1140"/>
    <n v="0.17610526315789474"/>
    <n v="0"/>
    <s v="ARS"/>
    <s v="CC"/>
    <s v="NACION"/>
    <x v="1"/>
    <x v="1"/>
    <x v="1"/>
    <s v="DEBITO IVA FISCAL"/>
    <m/>
    <m/>
    <x v="1"/>
    <m/>
    <s v="24/25"/>
    <s v="EGRESOS"/>
    <s v="EFECTIVO Y OTROS ACT LÍQ EQ."/>
  </r>
  <r>
    <x v="2"/>
    <d v="2025-03-06T00:00:00"/>
    <s v="GRAVAMEN LEY 25413 S/CRED"/>
    <m/>
    <n v="16200"/>
    <n v="0"/>
    <n v="-16200"/>
    <m/>
    <n v="1140"/>
    <n v="14.210526315789474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2"/>
    <d v="2025-03-06T00:00:00"/>
    <s v="GRAVAMEN LEY 25413 S/DEB"/>
    <m/>
    <n v="5.74"/>
    <n v="0"/>
    <n v="-5.74"/>
    <m/>
    <n v="1140"/>
    <n v="5.0350877192982457E-3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2"/>
    <d v="2025-03-06T00:00:00"/>
    <s v="GRAVAMEN LEY 25413 S/DEB"/>
    <m/>
    <n v="1.2"/>
    <n v="0"/>
    <n v="-1.2"/>
    <m/>
    <n v="1140"/>
    <n v="1.0526315789473684E-3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2"/>
    <d v="2025-03-07T00:00:00"/>
    <s v="DEP.EFECTIVO"/>
    <m/>
    <n v="0"/>
    <n v="1200000"/>
    <n v="1200000"/>
    <m/>
    <n v="1140"/>
    <n v="0"/>
    <n v="1052.6315789473683"/>
    <s v="ARS"/>
    <s v="CC"/>
    <s v="NACION"/>
    <x v="1"/>
    <x v="2"/>
    <x v="14"/>
    <s v="DEPOSITO EF EN CC"/>
    <s v="RAUL"/>
    <m/>
    <x v="8"/>
    <s v="RAUL"/>
    <s v="24/25"/>
    <s v="EFECTIVO Y OTROS ACT LÍQ EQ."/>
    <s v="APORTES DE CAPITAL"/>
  </r>
  <r>
    <x v="2"/>
    <d v="2025-03-07T00:00:00"/>
    <s v="DEB.TRAN.INTERBMISMO TIT"/>
    <m/>
    <n v="600000"/>
    <n v="0"/>
    <n v="-600000"/>
    <m/>
    <n v="1140"/>
    <n v="526.31578947368416"/>
    <n v="0"/>
    <s v="ARS"/>
    <s v="CC"/>
    <s v="NACION"/>
    <x v="0"/>
    <x v="0"/>
    <x v="0"/>
    <s v="HACIA EL GALICIA"/>
    <m/>
    <m/>
    <x v="0"/>
    <m/>
    <s v="24/25"/>
    <m/>
    <m/>
  </r>
  <r>
    <x v="2"/>
    <d v="2025-03-07T00:00:00"/>
    <s v="DEB.TRAN.INTERBMISMO TIT"/>
    <m/>
    <n v="583000"/>
    <n v="0"/>
    <n v="-583000"/>
    <m/>
    <n v="1140"/>
    <n v="511.40350877192981"/>
    <n v="0"/>
    <s v="ARS"/>
    <s v="CC"/>
    <s v="NACION"/>
    <x v="0"/>
    <x v="0"/>
    <x v="0"/>
    <s v="HACIA EL MACRO"/>
    <m/>
    <m/>
    <x v="0"/>
    <m/>
    <s v="24/25"/>
    <m/>
    <m/>
  </r>
  <r>
    <x v="2"/>
    <d v="2025-03-07T00:00:00"/>
    <s v="COMIS.TRANSF.NE24"/>
    <m/>
    <n v="956"/>
    <n v="0"/>
    <n v="-956"/>
    <m/>
    <n v="1140"/>
    <n v="0.83859649122807023"/>
    <n v="0"/>
    <s v="ARS"/>
    <s v="CC"/>
    <s v="NACION"/>
    <x v="1"/>
    <x v="7"/>
    <x v="9"/>
    <m/>
    <m/>
    <m/>
    <x v="1"/>
    <m/>
    <s v="24/25"/>
    <s v="EGRESOS"/>
    <s v="EFECTIVO Y OTROS ACT LÍQ EQ."/>
  </r>
  <r>
    <x v="2"/>
    <d v="2025-03-07T00:00:00"/>
    <s v="I.V.A. BASE"/>
    <m/>
    <n v="200.76"/>
    <n v="0"/>
    <n v="-200.76"/>
    <m/>
    <n v="1140"/>
    <n v="0.17610526315789474"/>
    <n v="0"/>
    <s v="ARS"/>
    <s v="CC"/>
    <s v="NACION"/>
    <x v="1"/>
    <x v="1"/>
    <x v="1"/>
    <s v="IVA"/>
    <m/>
    <m/>
    <x v="1"/>
    <m/>
    <s v="24/25"/>
    <s v="EGRESOS"/>
    <s v="EFECTIVO Y OTROS ACT LÍQ EQ."/>
  </r>
  <r>
    <x v="2"/>
    <d v="2025-03-07T00:00:00"/>
    <s v="GRAVAMEN LEY 25413 S/CRED"/>
    <m/>
    <n v="7200"/>
    <n v="0"/>
    <n v="-7200"/>
    <m/>
    <n v="1140"/>
    <n v="6.3157894736842106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2"/>
    <d v="2025-03-07T00:00:00"/>
    <s v="GRAVAMEN LEY 25413 S/DEB"/>
    <m/>
    <n v="5.74"/>
    <n v="0"/>
    <n v="-5.74"/>
    <m/>
    <n v="1140"/>
    <n v="5.0350877192982457E-3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2"/>
    <d v="2025-03-07T00:00:00"/>
    <s v="GRAVAMEN LEY 25413 S/DEB"/>
    <m/>
    <n v="1.2"/>
    <n v="0"/>
    <n v="-1.2"/>
    <m/>
    <n v="1140"/>
    <n v="1.0526315789473684E-3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2"/>
    <d v="2025-03-11T00:00:00"/>
    <s v="48HS. BANCOS"/>
    <m/>
    <n v="500000"/>
    <n v="0"/>
    <n v="-500000"/>
    <m/>
    <n v="1140"/>
    <n v="438.59649122807019"/>
    <n v="0"/>
    <s v="ARS"/>
    <s v="CC"/>
    <s v="NACION"/>
    <x v="3"/>
    <x v="5"/>
    <x v="6"/>
    <m/>
    <s v="TARQUINO "/>
    <s v="FA81,13,29,99,32,57"/>
    <x v="6"/>
    <m/>
    <s v="24/25"/>
    <s v="BIENES Y SERVICIOS"/>
    <s v="EFECTIVO Y OTROS ACT LÍQ EQ."/>
  </r>
  <r>
    <x v="2"/>
    <d v="2025-03-11T00:00:00"/>
    <s v="TRANSF.INT.DIST.TITULAR - CUIT/CUIL: 20164045693"/>
    <m/>
    <n v="0"/>
    <n v="510000"/>
    <n v="510000"/>
    <m/>
    <n v="1140"/>
    <n v="0"/>
    <n v="447.36842105263156"/>
    <s v="ARS"/>
    <s v="CC"/>
    <s v="NACION"/>
    <x v="1"/>
    <x v="2"/>
    <x v="14"/>
    <m/>
    <s v="RAUL"/>
    <m/>
    <x v="8"/>
    <s v="RAUL"/>
    <s v="24/25"/>
    <s v="EFECTIVO Y OTROS ACT LÍQ EQ."/>
    <s v="APORTES DE CAPITAL"/>
  </r>
  <r>
    <x v="2"/>
    <d v="2025-03-11T00:00:00"/>
    <s v="GRAVAMEN LEY 25413 S/DEB"/>
    <m/>
    <n v="3000"/>
    <n v="0"/>
    <n v="-3000"/>
    <m/>
    <n v="1140"/>
    <n v="2.6315789473684212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2"/>
    <d v="2025-03-11T00:00:00"/>
    <s v="GRAVAMEN LEY 25413 S/CRED"/>
    <m/>
    <n v="3060"/>
    <n v="0"/>
    <n v="-3060"/>
    <m/>
    <n v="1140"/>
    <n v="2.6842105263157894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2"/>
    <d v="2025-03-12T00:00:00"/>
    <s v="BCA.E.TR.O/BCO - CUIT/CUIL: 30708920882"/>
    <m/>
    <n v="0"/>
    <n v="6100"/>
    <n v="6100"/>
    <m/>
    <n v="1140"/>
    <n v="0"/>
    <n v="5.3508771929824563"/>
    <s v="ARS"/>
    <s v="CC"/>
    <s v="NACION"/>
    <x v="0"/>
    <x v="0"/>
    <x v="0"/>
    <s v="DESDE EL GALICIA"/>
    <m/>
    <m/>
    <x v="0"/>
    <m/>
    <s v="24/25"/>
    <m/>
    <m/>
  </r>
  <r>
    <x v="1"/>
    <d v="2025-02-17T00:00:00"/>
    <s v="DEB.TRAN.INTERBMISMO TIT"/>
    <m/>
    <n v="362000"/>
    <n v="0"/>
    <n v="-362000"/>
    <m/>
    <n v="1140"/>
    <n v="317.54385964912279"/>
    <n v="0"/>
    <s v="ARS"/>
    <s v="CC"/>
    <s v="NACION"/>
    <x v="1"/>
    <x v="2"/>
    <x v="2"/>
    <s v="FUT UTILIDADES FEBRERO"/>
    <s v="CLAUDIA ERRECALDE"/>
    <m/>
    <x v="15"/>
    <s v="CLAUDIA"/>
    <s v="24/25"/>
    <s v="FUTURAS UT. ADL CLAUDIA"/>
    <s v="EFECTIVO Y OTROS ACT LÍQ EQ."/>
  </r>
  <r>
    <x v="2"/>
    <d v="2025-03-12T00:00:00"/>
    <s v="GRAVAMEN LEY 25413 S/CRED"/>
    <m/>
    <n v="60"/>
    <n v="0"/>
    <n v="-60"/>
    <m/>
    <n v="1140"/>
    <n v="5.2631578947368418E-2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2"/>
    <d v="2025-03-12T00:00:00"/>
    <s v="TRANSF.INT.DIST.TITULAR - CUIT/CUIL: 27200806536"/>
    <m/>
    <n v="0"/>
    <n v="10000"/>
    <n v="10000"/>
    <m/>
    <n v="1140"/>
    <n v="0"/>
    <n v="8.7719298245614041"/>
    <s v="ARS"/>
    <s v="CC"/>
    <s v="NACION"/>
    <x v="1"/>
    <x v="2"/>
    <x v="14"/>
    <m/>
    <s v="CLAUDIA ERRECALDE"/>
    <m/>
    <x v="16"/>
    <s v="CLAUDIA"/>
    <s v="24/25"/>
    <s v="EFECTIVO Y OTROS ACT LÍQ EQ."/>
    <s v="APORTES DE CAPITAL"/>
  </r>
  <r>
    <x v="2"/>
    <d v="2025-03-18T00:00:00"/>
    <s v="BCA.E.TR.O/BCO - CUIT/CUIL: 30708920882"/>
    <m/>
    <n v="0"/>
    <n v="500000"/>
    <n v="500000"/>
    <m/>
    <n v="1140"/>
    <n v="0"/>
    <n v="438.59649122807019"/>
    <s v="ARS"/>
    <s v="CC"/>
    <s v="NACION"/>
    <x v="0"/>
    <x v="0"/>
    <x v="0"/>
    <s v="DESDE EL MACR"/>
    <m/>
    <m/>
    <x v="0"/>
    <m/>
    <m/>
    <m/>
    <m/>
  </r>
  <r>
    <x v="2"/>
    <d v="2025-03-19T00:00:00"/>
    <s v="DEB.TRAN.INTERBMISMO TIT"/>
    <m/>
    <n v="500000"/>
    <n v="0"/>
    <n v="-500000"/>
    <m/>
    <n v="1140"/>
    <n v="438.59649122807019"/>
    <n v="0"/>
    <s v="ARS"/>
    <s v="CC"/>
    <s v="NACION"/>
    <x v="2"/>
    <x v="15"/>
    <x v="25"/>
    <s v="ROLLOS"/>
    <s v="DAVI ARMANDO"/>
    <m/>
    <x v="7"/>
    <m/>
    <s v="23/24"/>
    <s v="EGRESOS"/>
    <s v="EFECTIVO Y OTROS ACT LÍQ EQ."/>
  </r>
  <r>
    <x v="2"/>
    <d v="2025-03-19T00:00:00"/>
    <s v="GRAVAMEN LEY 25413 S/DEB"/>
    <m/>
    <n v="3000"/>
    <n v="0"/>
    <n v="-3000"/>
    <m/>
    <n v="1140"/>
    <n v="2.6315789473684212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2"/>
    <d v="2025-03-21T00:00:00"/>
    <s v="BCA.E.TR.O/BCO - CUIT/CUIL: 30708920882"/>
    <m/>
    <n v="0"/>
    <n v="550000"/>
    <n v="550000"/>
    <m/>
    <n v="1140"/>
    <n v="0"/>
    <n v="482.45614035087721"/>
    <s v="ARS"/>
    <s v="CC"/>
    <s v="NACION"/>
    <x v="0"/>
    <x v="0"/>
    <x v="0"/>
    <s v="DESDE EL MACR"/>
    <m/>
    <m/>
    <x v="0"/>
    <m/>
    <s v="24/25"/>
    <m/>
    <m/>
  </r>
  <r>
    <x v="2"/>
    <d v="2025-03-21T00:00:00"/>
    <s v="GRAVAMEN LEY 25413 S/DEB"/>
    <m/>
    <n v="3000"/>
    <n v="0"/>
    <n v="-3000"/>
    <m/>
    <n v="1140"/>
    <n v="2.6315789473684212"/>
    <n v="0"/>
    <s v="ARS"/>
    <s v="CC"/>
    <s v="NACION"/>
    <x v="1"/>
    <x v="1"/>
    <x v="1"/>
    <s v="DEBITO IVA FISCAL"/>
    <m/>
    <m/>
    <x v="1"/>
    <m/>
    <s v="23/24"/>
    <s v="EGRESOS"/>
    <s v="EFECTIVO Y OTROS ACT LÍQ EQ."/>
  </r>
  <r>
    <x v="2"/>
    <d v="2025-03-27T00:00:00"/>
    <s v="INTERESES"/>
    <m/>
    <n v="108737"/>
    <n v="0"/>
    <n v="-108737"/>
    <m/>
    <n v="1140"/>
    <n v="95.38333333333334"/>
    <n v="0"/>
    <s v="ARS"/>
    <s v="CC"/>
    <s v="NACION"/>
    <x v="1"/>
    <x v="6"/>
    <x v="8"/>
    <m/>
    <m/>
    <m/>
    <x v="1"/>
    <m/>
    <s v="23/24"/>
    <s v="EGRESOS"/>
    <s v="EFECTIVO Y OTROS ACT LÍQ EQ."/>
  </r>
  <r>
    <x v="2"/>
    <d v="2025-03-27T00:00:00"/>
    <s v="INTERESES"/>
    <m/>
    <n v="2885.64"/>
    <n v="0"/>
    <n v="-2885.64"/>
    <m/>
    <n v="1140"/>
    <n v="2.5312631578947369"/>
    <n v="0"/>
    <s v="ARS"/>
    <s v="CC"/>
    <s v="NACION"/>
    <x v="1"/>
    <x v="6"/>
    <x v="8"/>
    <m/>
    <m/>
    <m/>
    <x v="1"/>
    <m/>
    <s v="23/24"/>
    <s v="EGRESOS"/>
    <s v="EFECTIVO Y OTROS ACT LÍQ EQ."/>
  </r>
  <r>
    <x v="2"/>
    <d v="2025-03-27T00:00:00"/>
    <s v="BCA.E.TR.O/BCO - CUIT/CUIL: 30708920882"/>
    <m/>
    <n v="0"/>
    <n v="70000"/>
    <n v="70000"/>
    <m/>
    <n v="1140"/>
    <n v="0"/>
    <n v="61.403508771929822"/>
    <s v="ARS"/>
    <s v="CC"/>
    <s v="NACION"/>
    <x v="0"/>
    <x v="0"/>
    <x v="0"/>
    <s v="DESDE MACRO"/>
    <m/>
    <m/>
    <x v="0"/>
    <m/>
    <m/>
    <m/>
    <m/>
  </r>
  <r>
    <x v="2"/>
    <d v="2025-03-27T00:00:00"/>
    <s v="GRAVAMEN LEY 25413 S/DEB"/>
    <m/>
    <n v="652.41999999999996"/>
    <n v="0"/>
    <n v="-652.41999999999996"/>
    <m/>
    <n v="1140"/>
    <n v="0.57229824561403508"/>
    <n v="0"/>
    <s v="ARS"/>
    <s v="CC"/>
    <s v="NACION"/>
    <x v="1"/>
    <x v="1"/>
    <x v="1"/>
    <s v="DEBITO IVA FISCAL"/>
    <m/>
    <m/>
    <x v="1"/>
    <m/>
    <s v="24/25"/>
    <s v="EGRESOS"/>
    <s v="EFECTIVO Y OTROS ACT LÍQ EQ."/>
  </r>
  <r>
    <x v="2"/>
    <d v="2025-03-27T00:00:00"/>
    <s v="GRAVAMEN LEY 25413 S/DEB"/>
    <m/>
    <n v="17.309999999999999"/>
    <n v="0"/>
    <n v="-17.309999999999999"/>
    <m/>
    <n v="1140"/>
    <n v="1.5184210526315788E-2"/>
    <n v="0"/>
    <s v="ARS"/>
    <s v="CC"/>
    <s v="NACION"/>
    <x v="1"/>
    <x v="1"/>
    <x v="1"/>
    <s v="DEBITO IVA FISCAL"/>
    <m/>
    <m/>
    <x v="1"/>
    <m/>
    <s v="24/25"/>
    <s v="EGRESOS"/>
    <s v="EFECTIVO Y OTROS ACT LÍQ EQ."/>
  </r>
  <r>
    <x v="2"/>
    <d v="2025-04-01T00:00:00"/>
    <s v="COMISION PAQUETES"/>
    <m/>
    <n v="27000"/>
    <n v="0"/>
    <n v="-27000"/>
    <m/>
    <n v="1140"/>
    <n v="23.684210526315791"/>
    <n v="0"/>
    <s v="ARS"/>
    <s v="CC"/>
    <s v="NACION"/>
    <x v="1"/>
    <x v="7"/>
    <x v="9"/>
    <m/>
    <m/>
    <m/>
    <x v="1"/>
    <m/>
    <s v="24/25"/>
    <s v="EGRESOS"/>
    <s v="EFECTIVO Y OTROS ACT LÍQ EQ."/>
  </r>
  <r>
    <x v="2"/>
    <d v="2025-04-01T00:00:00"/>
    <s v="I.V.A. BASE"/>
    <m/>
    <n v="5670"/>
    <n v="0"/>
    <n v="-5670"/>
    <m/>
    <n v="1140"/>
    <n v="4.9736842105263159"/>
    <n v="0"/>
    <s v="ARS"/>
    <s v="CC"/>
    <s v="NACION"/>
    <x v="1"/>
    <x v="1"/>
    <x v="1"/>
    <s v="DEBITO IVA FISCAL"/>
    <m/>
    <m/>
    <x v="1"/>
    <m/>
    <s v="24/25"/>
    <s v="EGRESOS"/>
    <s v="EFECTIVO Y OTROS ACT LÍQ EQ."/>
  </r>
  <r>
    <x v="2"/>
    <d v="2025-04-01T00:00:00"/>
    <s v="RETEN. I.V.A. RG.2408"/>
    <m/>
    <n v="810"/>
    <n v="0"/>
    <n v="-810"/>
    <m/>
    <n v="1140"/>
    <n v="0.71052631578947367"/>
    <n v="0"/>
    <s v="ARS"/>
    <s v="CC"/>
    <s v="NACION"/>
    <x v="1"/>
    <x v="1"/>
    <x v="1"/>
    <s v="RETENCIONES"/>
    <m/>
    <m/>
    <x v="1"/>
    <m/>
    <s v="24/25"/>
    <s v="EGRESOS"/>
    <s v="EFECTIVO Y OTROS ACT LÍQ EQ."/>
  </r>
  <r>
    <x v="2"/>
    <d v="2025-04-01T00:00:00"/>
    <s v="GRAVAMEN LEY 25413 S/DEB"/>
    <m/>
    <n v="162"/>
    <n v="0"/>
    <n v="-162"/>
    <m/>
    <n v="1140"/>
    <n v="0.14210526315789473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2"/>
    <d v="2025-04-01T00:00:00"/>
    <s v="GRAVAMEN LEY 25413 S/DEB"/>
    <m/>
    <n v="34.020000000000003"/>
    <n v="0"/>
    <n v="-34.020000000000003"/>
    <m/>
    <n v="1140"/>
    <n v="2.9842105263157899E-2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2"/>
    <d v="2025-04-01T00:00:00"/>
    <s v="GRAVAMEN LEY 25413 S/DEB"/>
    <m/>
    <n v="4.8600000000000003"/>
    <n v="0"/>
    <n v="-4.8600000000000003"/>
    <m/>
    <n v="1140"/>
    <n v="4.263157894736842E-3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3"/>
    <d v="2025-04-01T00:00:00"/>
    <s v="COMISION PAQUETES"/>
    <m/>
    <n v="27000"/>
    <n v="0"/>
    <n v="-27000"/>
    <m/>
    <n v="1140"/>
    <n v="23.684210526315791"/>
    <n v="0"/>
    <s v="ARS"/>
    <s v="CC"/>
    <s v="NACION"/>
    <x v="1"/>
    <x v="7"/>
    <x v="9"/>
    <m/>
    <m/>
    <m/>
    <x v="1"/>
    <m/>
    <s v="24/25"/>
    <s v="EGRESOS"/>
    <s v="EFECTIVO Y OTROS ACT LÍQ EQ."/>
  </r>
  <r>
    <x v="3"/>
    <d v="2025-04-01T00:00:00"/>
    <s v="I.V.A. BASE"/>
    <m/>
    <n v="5670"/>
    <n v="0"/>
    <n v="-5670"/>
    <m/>
    <n v="1140"/>
    <n v="4.9736842105263159"/>
    <n v="0"/>
    <s v="ARS"/>
    <s v="CC"/>
    <s v="NACION"/>
    <x v="1"/>
    <x v="1"/>
    <x v="1"/>
    <s v="IVA"/>
    <m/>
    <m/>
    <x v="1"/>
    <m/>
    <s v="24/25"/>
    <s v="EGRESOS"/>
    <s v="EFECTIVO Y OTROS ACT LÍQ EQ."/>
  </r>
  <r>
    <x v="3"/>
    <d v="2025-04-01T00:00:00"/>
    <s v="RETEN. I.V.A. RG.2408"/>
    <m/>
    <n v="810"/>
    <n v="0"/>
    <n v="-810"/>
    <m/>
    <n v="1140"/>
    <n v="0.71052631578947367"/>
    <n v="0"/>
    <s v="ARS"/>
    <s v="CC"/>
    <s v="NACION"/>
    <x v="1"/>
    <x v="1"/>
    <x v="1"/>
    <s v="RETENCIONES"/>
    <m/>
    <m/>
    <x v="1"/>
    <m/>
    <s v="24/25"/>
    <s v="EGRESOS"/>
    <s v="EFECTIVO Y OTROS ACT LÍQ EQ."/>
  </r>
  <r>
    <x v="3"/>
    <d v="2025-04-01T00:00:00"/>
    <s v="GRAVAMEN LEY 25413 S/DEB"/>
    <m/>
    <n v="162"/>
    <n v="0"/>
    <n v="-162"/>
    <m/>
    <n v="1140"/>
    <n v="0.14210526315789473"/>
    <n v="0"/>
    <s v="ARS"/>
    <s v="CC"/>
    <s v="NACION"/>
    <x v="1"/>
    <x v="1"/>
    <x v="1"/>
    <s v="DEBITO IVA FISCAL"/>
    <m/>
    <m/>
    <x v="1"/>
    <m/>
    <s v="24/25"/>
    <s v="EGRESOS"/>
    <s v="EFECTIVO Y OTROS ACT LÍQ EQ."/>
  </r>
  <r>
    <x v="3"/>
    <d v="2025-04-01T00:00:00"/>
    <s v="GRAVAMEN LEY 25413 S/DEB"/>
    <m/>
    <n v="34.020000000000003"/>
    <n v="0"/>
    <n v="-34.020000000000003"/>
    <m/>
    <n v="1140"/>
    <n v="2.9842105263157899E-2"/>
    <n v="0"/>
    <s v="ARS"/>
    <s v="CC"/>
    <s v="NACION"/>
    <x v="1"/>
    <x v="1"/>
    <x v="1"/>
    <s v="DEBITO IVA FISCAL"/>
    <m/>
    <m/>
    <x v="1"/>
    <m/>
    <s v="24/25"/>
    <s v="EGRESOS"/>
    <s v="EFECTIVO Y OTROS ACT LÍQ EQ."/>
  </r>
  <r>
    <x v="3"/>
    <d v="2025-04-01T00:00:00"/>
    <s v="GRAVAMEN LEY 25413 S/DEB"/>
    <m/>
    <n v="4.8600000000000003"/>
    <n v="0"/>
    <n v="-4.8600000000000003"/>
    <m/>
    <n v="1140"/>
    <n v="4.263157894736842E-3"/>
    <n v="0"/>
    <s v="ARS"/>
    <s v="CC"/>
    <s v="NACION"/>
    <x v="1"/>
    <x v="1"/>
    <x v="1"/>
    <s v="DEBITO IVA FISCAL"/>
    <m/>
    <m/>
    <x v="1"/>
    <m/>
    <s v="24/25"/>
    <s v="EGRESOS"/>
    <s v="EFECTIVO Y OTROS ACT LÍQ EQ."/>
  </r>
  <r>
    <x v="3"/>
    <d v="2025-04-04T00:00:00"/>
    <s v="DEP.EFECTIVO"/>
    <m/>
    <n v="0"/>
    <n v="550000"/>
    <n v="550000"/>
    <m/>
    <n v="1140"/>
    <n v="0"/>
    <n v="482.45614035087721"/>
    <s v="ARS"/>
    <s v="CC"/>
    <s v="NACION"/>
    <x v="1"/>
    <x v="11"/>
    <x v="14"/>
    <s v="EN EFECTIVO EN NACIOON"/>
    <s v="BECERRA ADRIAN"/>
    <m/>
    <x v="10"/>
    <m/>
    <s v="24/25"/>
    <s v="EFECTIVO Y OTROS ACT LÍQ EQ."/>
    <s v="DEUDAS FINANCIERAS CP"/>
  </r>
  <r>
    <x v="3"/>
    <d v="2025-04-04T00:00:00"/>
    <s v="DEB.TRAN.INTERBMISMO TIT"/>
    <m/>
    <n v="520000"/>
    <n v="0"/>
    <n v="-520000"/>
    <m/>
    <n v="1140"/>
    <n v="456.14035087719299"/>
    <n v="0"/>
    <s v="ARS"/>
    <s v="CC"/>
    <s v="NACION"/>
    <x v="0"/>
    <x v="0"/>
    <x v="0"/>
    <s v="HACIA CC MACRO"/>
    <m/>
    <m/>
    <x v="0"/>
    <m/>
    <s v="24/25"/>
    <m/>
    <m/>
  </r>
  <r>
    <x v="3"/>
    <d v="2025-04-04T00:00:00"/>
    <s v="GRAVAMEN LEY 25413 S/CRED"/>
    <m/>
    <n v="3300"/>
    <n v="0"/>
    <n v="-3300"/>
    <m/>
    <n v="1140"/>
    <n v="2.8947368421052633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3"/>
    <d v="2025-04-07T00:00:00"/>
    <s v="COM TRANSFE ELECTRONICA"/>
    <m/>
    <n v="956"/>
    <n v="0"/>
    <n v="-956"/>
    <m/>
    <n v="1140"/>
    <n v="0.83859649122807023"/>
    <n v="0"/>
    <s v="ARS"/>
    <s v="CC"/>
    <s v="NACION"/>
    <x v="1"/>
    <x v="7"/>
    <x v="9"/>
    <m/>
    <m/>
    <m/>
    <x v="1"/>
    <m/>
    <s v="24/25"/>
    <s v="EGRESOS"/>
    <s v="EFECTIVO Y OTROS ACT LÍQ EQ."/>
  </r>
  <r>
    <x v="3"/>
    <d v="2025-04-07T00:00:00"/>
    <s v="I.V.A. BASE"/>
    <m/>
    <n v="200.76"/>
    <n v="0"/>
    <n v="-200.76"/>
    <m/>
    <n v="1140"/>
    <n v="0.17610526315789474"/>
    <n v="0"/>
    <s v="ARS"/>
    <s v="CC"/>
    <s v="NACION"/>
    <x v="1"/>
    <x v="1"/>
    <x v="1"/>
    <s v="DEBITO IVA FISCAL"/>
    <m/>
    <m/>
    <x v="1"/>
    <m/>
    <s v="24/25"/>
    <s v="EGRESOS"/>
    <s v="EFECTIVO Y OTROS ACT LÍQ EQ."/>
  </r>
  <r>
    <x v="3"/>
    <d v="2025-04-07T00:00:00"/>
    <s v="GRAVAMEN LEY 25413 S/DEB"/>
    <m/>
    <n v="5.74"/>
    <n v="0"/>
    <n v="-5.74"/>
    <m/>
    <n v="1140"/>
    <n v="5.0350877192982457E-3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3"/>
    <d v="2025-04-07T00:00:00"/>
    <s v="GRAVAMEN LEY 25413 S/DEB"/>
    <m/>
    <n v="1.2"/>
    <n v="0"/>
    <n v="-1.2"/>
    <m/>
    <n v="1140"/>
    <n v="1.0526315789473684E-3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3"/>
    <d v="2025-04-08T00:00:00"/>
    <s v="BCA.E.TR.O/BCO - CUIT/CUIL: 30708920882"/>
    <m/>
    <n v="0"/>
    <n v="10000"/>
    <n v="10000"/>
    <m/>
    <n v="1140"/>
    <n v="0"/>
    <n v="8.7719298245614041"/>
    <s v="ARS"/>
    <s v="CC"/>
    <s v="NACION"/>
    <x v="0"/>
    <x v="0"/>
    <x v="0"/>
    <s v="DESDE CC GALICIA"/>
    <m/>
    <m/>
    <x v="0"/>
    <m/>
    <s v="24/25"/>
    <m/>
    <m/>
  </r>
  <r>
    <x v="3"/>
    <d v="2025-04-10T00:00:00"/>
    <s v="BCA.E.TR.O/BCO - CUIT/CUIL: 30708920882"/>
    <m/>
    <n v="0"/>
    <n v="3000000"/>
    <n v="3000000"/>
    <n v="0"/>
    <n v="1140"/>
    <n v="0"/>
    <n v="2631.5789473684213"/>
    <s v="ARS"/>
    <s v="CC"/>
    <s v="NACION"/>
    <x v="0"/>
    <x v="0"/>
    <x v="0"/>
    <s v="DESDE CC GALICIA"/>
    <s v="CUBRE EL DESCUBIERTO"/>
    <m/>
    <x v="0"/>
    <m/>
    <s v="24/25"/>
    <m/>
    <m/>
  </r>
  <r>
    <x v="3"/>
    <d v="2025-04-11T00:00:00"/>
    <s v="COMIS.DE COMPROMISO"/>
    <m/>
    <n v="22500"/>
    <n v="0"/>
    <n v="-22500"/>
    <m/>
    <n v="1140"/>
    <n v="19.736842105263158"/>
    <n v="0"/>
    <s v="ARS"/>
    <s v="CC"/>
    <s v="NACION"/>
    <x v="1"/>
    <x v="7"/>
    <x v="9"/>
    <m/>
    <m/>
    <m/>
    <x v="1"/>
    <m/>
    <s v="24/25"/>
    <s v="EGRESOS"/>
    <s v="EFECTIVO Y OTROS ACT LÍQ EQ."/>
  </r>
  <r>
    <x v="3"/>
    <d v="2025-04-11T00:00:00"/>
    <s v="PM/TOT. RES. AGRONACION"/>
    <m/>
    <n v="9333.94"/>
    <n v="0"/>
    <n v="-9333.94"/>
    <m/>
    <n v="1140"/>
    <n v="8.1876666666666669"/>
    <n v="0"/>
    <s v="ARS"/>
    <s v="CC"/>
    <s v="NACION"/>
    <x v="1"/>
    <x v="7"/>
    <x v="9"/>
    <m/>
    <m/>
    <m/>
    <x v="1"/>
    <m/>
    <s v="24/25"/>
    <s v="EGRESOS"/>
    <s v="EFECTIVO Y OTROS ACT LÍQ EQ."/>
  </r>
  <r>
    <x v="3"/>
    <d v="2025-04-11T00:00:00"/>
    <s v="I.V.A. BASE"/>
    <m/>
    <n v="4725"/>
    <n v="0"/>
    <n v="-4725"/>
    <m/>
    <n v="1140"/>
    <n v="4.1447368421052628"/>
    <n v="0"/>
    <s v="ARS"/>
    <s v="CC"/>
    <s v="NACION"/>
    <x v="1"/>
    <x v="1"/>
    <x v="1"/>
    <s v="DEBITO IVA FISCAL"/>
    <m/>
    <m/>
    <x v="1"/>
    <m/>
    <s v="24/25"/>
    <s v="EGRESOS"/>
    <s v="EFECTIVO Y OTROS ACT LÍQ EQ."/>
  </r>
  <r>
    <x v="3"/>
    <d v="2025-04-11T00:00:00"/>
    <s v="RETEN. I.V.A. RG.2408"/>
    <m/>
    <n v="675"/>
    <n v="0"/>
    <n v="-675"/>
    <m/>
    <n v="1140"/>
    <n v="0.59210526315789469"/>
    <n v="0"/>
    <s v="ARS"/>
    <s v="CC"/>
    <s v="NACION"/>
    <x v="1"/>
    <x v="1"/>
    <x v="1"/>
    <s v="RETENCIONES"/>
    <m/>
    <m/>
    <x v="1"/>
    <m/>
    <s v="24/25"/>
    <s v="EGRESOS"/>
    <s v="EFECTIVO Y OTROS ACT LÍQ EQ."/>
  </r>
  <r>
    <x v="3"/>
    <d v="2025-04-11T00:00:00"/>
    <s v="GRAVAMEN LEY 25413 S/DEB"/>
    <m/>
    <n v="56"/>
    <n v="0"/>
    <n v="-56"/>
    <m/>
    <n v="1140"/>
    <n v="4.912280701754386E-2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3"/>
    <d v="2025-04-11T00:00:00"/>
    <s v="GRAVAMEN LEY 25413 S/DEB"/>
    <m/>
    <n v="28.35"/>
    <n v="0"/>
    <n v="-28.35"/>
    <m/>
    <n v="1140"/>
    <n v="2.4868421052631581E-2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3"/>
    <d v="2025-04-11T00:00:00"/>
    <s v="GRAVAMEN LEY 25413 S/DEB"/>
    <m/>
    <n v="4.05"/>
    <n v="0"/>
    <n v="-4.05"/>
    <m/>
    <n v="1140"/>
    <n v="3.5526315789473684E-3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3"/>
    <d v="2025-04-16T00:00:00"/>
    <s v="DEB.TRAN.INTERBMISMO TIT"/>
    <m/>
    <n v="1200000"/>
    <n v="0"/>
    <n v="-1200000"/>
    <m/>
    <n v="1140"/>
    <n v="1052.6315789473683"/>
    <n v="0"/>
    <s v="ARS"/>
    <s v="CC"/>
    <s v="NACION"/>
    <x v="0"/>
    <x v="0"/>
    <x v="0"/>
    <s v="HACIA CC MACRO"/>
    <m/>
    <m/>
    <x v="0"/>
    <m/>
    <s v="24/25"/>
    <m/>
    <m/>
  </r>
  <r>
    <x v="3"/>
    <d v="2025-04-16T00:00:00"/>
    <s v="DEB.TRAN.INTERBMISMO TIT"/>
    <m/>
    <n v="1000000"/>
    <n v="0"/>
    <n v="-1000000"/>
    <m/>
    <n v="1140"/>
    <n v="877.19298245614038"/>
    <n v="0"/>
    <s v="ARS"/>
    <s v="CC"/>
    <s v="NACION"/>
    <x v="0"/>
    <x v="0"/>
    <x v="0"/>
    <s v="HACIA CC MACRO"/>
    <m/>
    <m/>
    <x v="0"/>
    <m/>
    <s v="24/25"/>
    <m/>
    <m/>
  </r>
  <r>
    <x v="3"/>
    <d v="2025-04-16T00:00:00"/>
    <s v="DEB.TRAN.INTERBMISMO TIT"/>
    <m/>
    <n v="90000"/>
    <n v="0"/>
    <n v="-90000"/>
    <m/>
    <n v="1140"/>
    <n v="78.94736842105263"/>
    <n v="0"/>
    <s v="ARS"/>
    <s v="CC"/>
    <s v="NACION"/>
    <x v="0"/>
    <x v="0"/>
    <x v="0"/>
    <s v="HACIA CC MACRO"/>
    <m/>
    <m/>
    <x v="0"/>
    <m/>
    <s v="24/25"/>
    <m/>
    <m/>
  </r>
  <r>
    <x v="3"/>
    <d v="2025-04-21T00:00:00"/>
    <s v="DEB.TRAN.INTERBMISMO TIT"/>
    <m/>
    <n v="650000"/>
    <n v="0"/>
    <n v="-650000"/>
    <m/>
    <n v="1140"/>
    <n v="570.17543859649118"/>
    <n v="0"/>
    <s v="ARS"/>
    <s v="CC"/>
    <s v="NACION"/>
    <x v="0"/>
    <x v="0"/>
    <x v="0"/>
    <s v="HACIA CC MACRO"/>
    <m/>
    <m/>
    <x v="0"/>
    <m/>
    <s v="24/25"/>
    <m/>
    <m/>
  </r>
  <r>
    <x v="3"/>
    <d v="2025-04-21T00:00:00"/>
    <s v="DEB.TRAN.INTERBMISMO TIT"/>
    <m/>
    <n v="30000"/>
    <n v="0"/>
    <n v="-30000"/>
    <m/>
    <n v="1140"/>
    <n v="26.315789473684209"/>
    <n v="0"/>
    <s v="ARS"/>
    <s v="CC"/>
    <s v="NACION"/>
    <x v="1"/>
    <x v="3"/>
    <x v="13"/>
    <m/>
    <s v="MARTIN TOLEDO"/>
    <m/>
    <x v="3"/>
    <m/>
    <s v="24/25"/>
    <s v="EGRESOS"/>
    <s v="EFECTIVO Y OTROS ACT LÍQ EQ."/>
  </r>
  <r>
    <x v="3"/>
    <d v="2025-04-21T00:00:00"/>
    <s v="COM TRANSFE ELECTRONICA"/>
    <m/>
    <n v="956"/>
    <n v="0"/>
    <n v="-956"/>
    <m/>
    <n v="1140"/>
    <n v="0.83859649122807023"/>
    <n v="0"/>
    <s v="ARS"/>
    <s v="CC"/>
    <s v="NACION"/>
    <x v="1"/>
    <x v="7"/>
    <x v="9"/>
    <m/>
    <m/>
    <m/>
    <x v="1"/>
    <m/>
    <s v="24/25"/>
    <s v="EGRESOS"/>
    <s v="EFECTIVO Y OTROS ACT LÍQ EQ."/>
  </r>
  <r>
    <x v="3"/>
    <d v="2025-04-21T00:00:00"/>
    <s v="COM TRANSFE ELECTRONICA"/>
    <m/>
    <n v="956"/>
    <n v="0"/>
    <n v="-956"/>
    <m/>
    <n v="1140"/>
    <n v="0.83859649122807023"/>
    <n v="0"/>
    <s v="ARS"/>
    <s v="CC"/>
    <s v="NACION"/>
    <x v="1"/>
    <x v="7"/>
    <x v="9"/>
    <m/>
    <m/>
    <m/>
    <x v="1"/>
    <m/>
    <s v="24/25"/>
    <s v="EGRESOS"/>
    <s v="EFECTIVO Y OTROS ACT LÍQ EQ."/>
  </r>
  <r>
    <x v="3"/>
    <d v="2025-04-21T00:00:00"/>
    <s v="I.V.A. BASE"/>
    <m/>
    <n v="401.52"/>
    <n v="0"/>
    <n v="-401.52"/>
    <m/>
    <n v="1140"/>
    <n v="0.35221052631578947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3"/>
    <d v="2025-04-21T00:00:00"/>
    <s v="GRAVAMEN LEY 25413 S/DEB"/>
    <m/>
    <n v="180"/>
    <n v="0"/>
    <n v="-180"/>
    <m/>
    <n v="1140"/>
    <n v="0.15789473684210525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3"/>
    <d v="2025-04-21T00:00:00"/>
    <s v="GRAVAMEN LEY 25413 S/DEB"/>
    <m/>
    <n v="5.74"/>
    <n v="0"/>
    <n v="-5.74"/>
    <m/>
    <n v="1140"/>
    <n v="5.0350877192982457E-3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3"/>
    <d v="2025-04-21T00:00:00"/>
    <s v="GRAVAMEN LEY 25413 S/DEB"/>
    <m/>
    <n v="5.74"/>
    <n v="0"/>
    <n v="-5.74"/>
    <m/>
    <n v="1140"/>
    <n v="5.0350877192982457E-3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3"/>
    <d v="2025-04-21T00:00:00"/>
    <s v="GRAVAMEN LEY 25413 S/DEB"/>
    <m/>
    <n v="2.41"/>
    <n v="0"/>
    <n v="-2.41"/>
    <m/>
    <n v="1140"/>
    <n v="2.1140350877192982E-3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3"/>
    <d v="2025-04-22T00:00:00"/>
    <s v="TRANSF.INT.DIST.TITULAR - CUIT/CUIL: 20164045693"/>
    <m/>
    <n v="0"/>
    <n v="5000"/>
    <n v="5000"/>
    <m/>
    <n v="1140"/>
    <n v="0"/>
    <n v="4.3859649122807021"/>
    <s v="ARS"/>
    <s v="CC"/>
    <s v="NACION"/>
    <x v="1"/>
    <x v="2"/>
    <x v="14"/>
    <s v="P/CUBRIR EL NACION DE GASTOS"/>
    <s v="RAUL"/>
    <m/>
    <x v="8"/>
    <s v="RAUL"/>
    <s v="24/25"/>
    <s v="EFECTIVO Y OTROS ACT LÍQ EQ."/>
    <s v="APORTES DE CAPITAL"/>
  </r>
  <r>
    <x v="3"/>
    <d v="2025-04-22T00:00:00"/>
    <s v="COM TRANSFE ELECTRONICA"/>
    <m/>
    <n v="956"/>
    <n v="0"/>
    <n v="-956"/>
    <m/>
    <n v="1140"/>
    <n v="0.83859649122807023"/>
    <n v="0"/>
    <s v="ARS"/>
    <s v="CC"/>
    <s v="NACION"/>
    <x v="1"/>
    <x v="7"/>
    <x v="9"/>
    <m/>
    <m/>
    <m/>
    <x v="1"/>
    <m/>
    <s v="24/25"/>
    <s v="EGRESOS"/>
    <s v="EFECTIVO Y OTROS ACT LÍQ EQ."/>
  </r>
  <r>
    <x v="3"/>
    <d v="2025-04-22T00:00:00"/>
    <s v="I.V.A. BASE"/>
    <m/>
    <n v="200.76"/>
    <n v="0"/>
    <n v="-200.76"/>
    <m/>
    <n v="1140"/>
    <n v="0.17610526315789474"/>
    <n v="0"/>
    <s v="ARS"/>
    <s v="CC"/>
    <s v="NACION"/>
    <x v="1"/>
    <x v="1"/>
    <x v="1"/>
    <s v="DEBITO IVA FISCAL"/>
    <m/>
    <m/>
    <x v="1"/>
    <m/>
    <s v="24/25"/>
    <s v="EGRESOS"/>
    <s v="EFECTIVO Y OTROS ACT LÍQ EQ."/>
  </r>
  <r>
    <x v="3"/>
    <d v="2025-04-22T00:00:00"/>
    <s v="GRAVAMEN LEY 25413 S/CRED"/>
    <m/>
    <n v="30"/>
    <n v="0"/>
    <n v="-30"/>
    <m/>
    <n v="1140"/>
    <n v="2.6315789473684209E-2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3"/>
    <d v="2025-04-22T00:00:00"/>
    <s v="GRAVAMEN LEY 25413 S/DEB"/>
    <m/>
    <n v="5.74"/>
    <n v="0"/>
    <n v="-5.74"/>
    <m/>
    <n v="1140"/>
    <n v="5.0350877192982457E-3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3"/>
    <d v="2025-04-22T00:00:00"/>
    <s v="GRAVAMEN LEY 25413 S/DEB"/>
    <m/>
    <n v="1.2"/>
    <n v="0"/>
    <n v="-1.2"/>
    <n v="-3109922.08"/>
    <n v="1140"/>
    <n v="1.0526315789473684E-3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3"/>
    <d v="2025-04-29T00:00:00"/>
    <s v="INTERESES"/>
    <m/>
    <n v="53747.18"/>
    <n v="0"/>
    <n v="-53747.18"/>
    <m/>
    <n v="1140"/>
    <n v="47.14664912280702"/>
    <n v="0"/>
    <s v="ARS"/>
    <s v="CC"/>
    <s v="NACION"/>
    <x v="1"/>
    <x v="6"/>
    <x v="8"/>
    <m/>
    <m/>
    <m/>
    <x v="1"/>
    <m/>
    <s v="23/24"/>
    <s v="EGRESOS"/>
    <s v="EFECTIVO Y OTROS ACT LÍQ EQ."/>
  </r>
  <r>
    <x v="3"/>
    <d v="2025-04-29T00:00:00"/>
    <s v="INTERESES"/>
    <m/>
    <n v="41710.47"/>
    <n v="0"/>
    <n v="-41710.47"/>
    <m/>
    <n v="1140"/>
    <n v="36.588131578947369"/>
    <n v="0"/>
    <s v="ARS"/>
    <s v="CC"/>
    <s v="NACION"/>
    <x v="1"/>
    <x v="6"/>
    <x v="8"/>
    <m/>
    <m/>
    <m/>
    <x v="1"/>
    <m/>
    <s v="23/24"/>
    <s v="EGRESOS"/>
    <s v="EFECTIVO Y OTROS ACT LÍQ EQ."/>
  </r>
  <r>
    <x v="3"/>
    <d v="2025-04-29T00:00:00"/>
    <s v="INTERESES"/>
    <m/>
    <n v="127.45"/>
    <n v="0"/>
    <n v="-127.45"/>
    <m/>
    <n v="1140"/>
    <n v="0.11179824561403509"/>
    <n v="0"/>
    <s v="ARS"/>
    <s v="CC"/>
    <s v="NACION"/>
    <x v="1"/>
    <x v="6"/>
    <x v="8"/>
    <m/>
    <m/>
    <m/>
    <x v="1"/>
    <m/>
    <s v="23/24"/>
    <s v="EGRESOS"/>
    <s v="EFECTIVO Y OTROS ACT LÍQ EQ."/>
  </r>
  <r>
    <x v="3"/>
    <d v="2025-04-29T00:00:00"/>
    <s v="INTERESES"/>
    <m/>
    <n v="192.54"/>
    <n v="0"/>
    <n v="-192.54"/>
    <m/>
    <n v="1140"/>
    <n v="0.16889473684210526"/>
    <n v="0"/>
    <s v="ARS"/>
    <s v="CC"/>
    <s v="NACION"/>
    <x v="1"/>
    <x v="6"/>
    <x v="8"/>
    <m/>
    <m/>
    <m/>
    <x v="1"/>
    <m/>
    <s v="23/24"/>
    <s v="EGRESOS"/>
    <s v="EFECTIVO Y OTROS ACT LÍQ EQ."/>
  </r>
  <r>
    <x v="3"/>
    <d v="2025-04-29T00:00:00"/>
    <s v="INTERESES"/>
    <m/>
    <n v="13222.9"/>
    <n v="0"/>
    <n v="-13222.9"/>
    <m/>
    <n v="1140"/>
    <n v="11.599035087719297"/>
    <n v="0"/>
    <s v="ARS"/>
    <s v="CC"/>
    <s v="NACION"/>
    <x v="1"/>
    <x v="6"/>
    <x v="8"/>
    <m/>
    <m/>
    <m/>
    <x v="1"/>
    <m/>
    <s v="23/24"/>
    <s v="EGRESOS"/>
    <s v="EFECTIVO Y OTROS ACT LÍQ EQ."/>
  </r>
  <r>
    <x v="3"/>
    <d v="2025-04-29T00:00:00"/>
    <s v="INTERESES"/>
    <m/>
    <n v="2364.1799999999998"/>
    <n v="0"/>
    <n v="-2364.1799999999998"/>
    <m/>
    <n v="1140"/>
    <n v="2.0738421052631577"/>
    <n v="0"/>
    <s v="ARS"/>
    <s v="CC"/>
    <s v="NACION"/>
    <x v="1"/>
    <x v="6"/>
    <x v="8"/>
    <m/>
    <m/>
    <m/>
    <x v="1"/>
    <m/>
    <s v="23/24"/>
    <s v="EGRESOS"/>
    <s v="EFECTIVO Y OTROS ACT LÍQ EQ."/>
  </r>
  <r>
    <x v="3"/>
    <d v="2025-04-29T00:00:00"/>
    <s v="TRANSF.INT.DIST.TITULAR - CUIT/CUIL: 20164045693"/>
    <m/>
    <n v="0"/>
    <n v="120000"/>
    <n v="120000"/>
    <m/>
    <n v="1140"/>
    <n v="0"/>
    <n v="105.26315789473684"/>
    <s v="ARS"/>
    <s v="CC"/>
    <s v="NACION"/>
    <x v="1"/>
    <x v="2"/>
    <x v="14"/>
    <s v="P/CUBRIR EL NACION DE GASTOS"/>
    <s v="RAUL"/>
    <m/>
    <x v="8"/>
    <s v="RAUL"/>
    <s v="24/25"/>
    <s v="EFECTIVO Y OTROS ACT LÍQ EQ."/>
    <s v="APORTES DE CAPITAL"/>
  </r>
  <r>
    <x v="3"/>
    <d v="2025-04-29T00:00:00"/>
    <s v="PM/TOT. RES. AGRONACION"/>
    <m/>
    <n v="3599.06"/>
    <n v="0"/>
    <n v="-3599.06"/>
    <m/>
    <n v="1140"/>
    <n v="3.1570701754385966"/>
    <n v="0"/>
    <s v="ARS"/>
    <s v="CC"/>
    <s v="NACION"/>
    <x v="1"/>
    <x v="6"/>
    <x v="8"/>
    <m/>
    <m/>
    <m/>
    <x v="1"/>
    <m/>
    <s v="23/24"/>
    <s v="EGRESOS"/>
    <s v="EFECTIVO Y OTROS ACT LÍQ EQ."/>
  </r>
  <r>
    <x v="3"/>
    <d v="2025-04-29T00:00:00"/>
    <s v="GRAVAMEN LEY 25413 S/DEB"/>
    <m/>
    <n v="322.48"/>
    <n v="0"/>
    <n v="-322.48"/>
    <m/>
    <n v="1140"/>
    <n v="0.28287719298245617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3"/>
    <d v="2025-04-29T00:00:00"/>
    <s v="GRAVAMEN LEY 25413 S/DEB"/>
    <m/>
    <n v="250.26"/>
    <n v="0"/>
    <n v="-250.26"/>
    <m/>
    <n v="1140"/>
    <n v="0.21952631578947368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3"/>
    <d v="2025-04-29T00:00:00"/>
    <s v="GRAVAMEN LEY 25413 S/DEB"/>
    <m/>
    <n v="0.76"/>
    <n v="0"/>
    <n v="-0.76"/>
    <m/>
    <n v="1140"/>
    <n v="6.6666666666666664E-4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3"/>
    <d v="2025-04-29T00:00:00"/>
    <s v="GRAVAMEN LEY 25413 S/DEB"/>
    <m/>
    <n v="1.1599999999999999"/>
    <n v="0"/>
    <n v="-1.1599999999999999"/>
    <m/>
    <n v="1140"/>
    <n v="1.0175438596491228E-3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3"/>
    <d v="2025-04-29T00:00:00"/>
    <s v="GRAVAMEN LEY 25413 S/DEB"/>
    <m/>
    <n v="79.34"/>
    <n v="0"/>
    <n v="-79.34"/>
    <m/>
    <n v="1140"/>
    <n v="6.9596491228070184E-2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3"/>
    <d v="2025-04-29T00:00:00"/>
    <s v="GRAVAMEN LEY 25413 S/DEB"/>
    <m/>
    <n v="14.19"/>
    <n v="0"/>
    <n v="-14.19"/>
    <m/>
    <n v="1140"/>
    <n v="1.2447368421052631E-2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3"/>
    <d v="2025-04-29T00:00:00"/>
    <s v="GRAVAMEN LEY 25413 S/CRED"/>
    <m/>
    <n v="720"/>
    <n v="0"/>
    <n v="-720"/>
    <m/>
    <n v="1140"/>
    <n v="0.63157894736842102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3"/>
    <d v="2025-04-29T00:00:00"/>
    <s v="GRAVAMEN LEY 25413 S/DEB"/>
    <m/>
    <n v="21.59"/>
    <n v="0"/>
    <n v="-21.59"/>
    <n v="-2994930.92"/>
    <n v="1140"/>
    <n v="1.8938596491228071E-2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4"/>
    <d v="2025-05-05T00:00:00"/>
    <s v="DEP.EFECTIVO"/>
    <m/>
    <n v="0"/>
    <n v="1280000"/>
    <n v="1280000"/>
    <m/>
    <n v="1141"/>
    <n v="0"/>
    <n v="1121.8229623137599"/>
    <s v="ARS"/>
    <s v="CC"/>
    <s v="NACION"/>
    <x v="1"/>
    <x v="11"/>
    <x v="14"/>
    <s v="PARA TRANSF A RAUL"/>
    <s v="BECERRA ADRIAN"/>
    <m/>
    <x v="10"/>
    <m/>
    <s v="24/25"/>
    <s v="EFECTIVO Y OTROS ACT LÍQ EQ."/>
    <s v="DEUDAS FINANCIERAS CP"/>
  </r>
  <r>
    <x v="4"/>
    <d v="2025-05-05T00:00:00"/>
    <s v="DEB.TRAN.INTERBMISMO TIT"/>
    <m/>
    <n v="1000000"/>
    <n v="0"/>
    <n v="-1000000"/>
    <m/>
    <n v="1142"/>
    <n v="875.65674255691772"/>
    <n v="0"/>
    <s v="ARS"/>
    <s v="CC"/>
    <s v="NACION"/>
    <x v="1"/>
    <x v="11"/>
    <x v="26"/>
    <s v="EFEC DE ADRIAN"/>
    <s v="SANTIAGO ERRECALDE"/>
    <m/>
    <x v="10"/>
    <m/>
    <s v="24/25"/>
    <s v="ACREEDORES CORTO PLAZO"/>
    <s v="EFECTIVO Y OTROS ACT LÍQ EQ."/>
  </r>
  <r>
    <x v="4"/>
    <d v="2025-05-05T00:00:00"/>
    <s v="COMISION PAQUETES"/>
    <m/>
    <n v="27000"/>
    <n v="0"/>
    <n v="-27000"/>
    <m/>
    <n v="1143"/>
    <n v="23.622047244094489"/>
    <n v="0"/>
    <s v="ARS"/>
    <s v="CC"/>
    <s v="NACION"/>
    <x v="1"/>
    <x v="7"/>
    <x v="9"/>
    <m/>
    <m/>
    <m/>
    <x v="1"/>
    <m/>
    <s v="24/25"/>
    <s v="EGRESOS"/>
    <s v="EFECTIVO Y OTROS ACT LÍQ EQ."/>
  </r>
  <r>
    <x v="4"/>
    <d v="2025-05-05T00:00:00"/>
    <s v="I.V.A. BASE"/>
    <m/>
    <n v="5670"/>
    <n v="0"/>
    <n v="-5670"/>
    <m/>
    <n v="1144"/>
    <n v="4.9562937062937067"/>
    <n v="0"/>
    <s v="ARS"/>
    <s v="CC"/>
    <s v="NACION"/>
    <x v="1"/>
    <x v="1"/>
    <x v="1"/>
    <s v="DEBITO IVA FISCAL"/>
    <m/>
    <m/>
    <x v="1"/>
    <m/>
    <s v="24/25"/>
    <s v="EGRESOS"/>
    <s v="EFECTIVO Y OTROS ACT LÍQ EQ."/>
  </r>
  <r>
    <x v="4"/>
    <d v="2025-05-05T00:00:00"/>
    <s v="RETEN. I.V.A. RG.2408"/>
    <m/>
    <n v="810"/>
    <n v="0"/>
    <n v="-810"/>
    <m/>
    <n v="1145"/>
    <n v="0.70742358078602618"/>
    <n v="0"/>
    <s v="ARS"/>
    <s v="CC"/>
    <s v="NACION"/>
    <x v="1"/>
    <x v="1"/>
    <x v="1"/>
    <s v="RETENCIONES"/>
    <m/>
    <m/>
    <x v="1"/>
    <m/>
    <s v="24/25"/>
    <s v="EGRESOS"/>
    <s v="EFECTIVO Y OTROS ACT LÍQ EQ."/>
  </r>
  <r>
    <x v="4"/>
    <d v="2025-05-05T00:00:00"/>
    <s v="GRAVAMEN LEY 25413 S/CRED"/>
    <m/>
    <n v="6000"/>
    <n v="0"/>
    <n v="-6000"/>
    <m/>
    <n v="1146"/>
    <n v="5.2356020942408374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4"/>
    <d v="2025-05-05T00:00:00"/>
    <s v="GRAVAMEN LEY 25413 S/DEB"/>
    <m/>
    <n v="6000"/>
    <n v="0"/>
    <n v="-6000"/>
    <m/>
    <n v="1147"/>
    <n v="5.2310374891020048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4"/>
    <d v="2025-05-05T00:00:00"/>
    <s v="GRAVAMEN LEY 25413 S/DEB"/>
    <m/>
    <n v="162"/>
    <n v="0"/>
    <n v="-162"/>
    <m/>
    <n v="1148"/>
    <n v="0.14111498257839722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4"/>
    <d v="2025-05-05T00:00:00"/>
    <s v="GRAVAMEN LEY 25413 S/DEB"/>
    <m/>
    <n v="34.020000000000003"/>
    <n v="0"/>
    <n v="-34.020000000000003"/>
    <m/>
    <n v="1149"/>
    <n v="2.9608355091383813E-2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4"/>
    <d v="2025-05-05T00:00:00"/>
    <s v="GRAVAMEN LEY 25413 S/DEB"/>
    <m/>
    <n v="4.8600000000000003"/>
    <n v="0"/>
    <n v="-4.8600000000000003"/>
    <m/>
    <n v="1150"/>
    <n v="4.226086956521739E-3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4"/>
    <d v="2025-05-06T00:00:00"/>
    <s v="COM TRANSFE ELECTRONICA"/>
    <m/>
    <n v="956"/>
    <n v="0"/>
    <n v="-956"/>
    <m/>
    <n v="1151"/>
    <n v="0.83058210251954823"/>
    <n v="0"/>
    <s v="ARS"/>
    <s v="CC"/>
    <s v="NACION"/>
    <x v="1"/>
    <x v="7"/>
    <x v="9"/>
    <m/>
    <m/>
    <m/>
    <x v="1"/>
    <m/>
    <s v="24/25"/>
    <s v="EGRESOS"/>
    <s v="EFECTIVO Y OTROS ACT LÍQ EQ."/>
  </r>
  <r>
    <x v="4"/>
    <d v="2025-05-06T00:00:00"/>
    <s v="I.V.A. BASE"/>
    <m/>
    <n v="200.76"/>
    <n v="0"/>
    <n v="-200.76"/>
    <m/>
    <n v="1152"/>
    <n v="0.17427083333333332"/>
    <n v="0"/>
    <s v="ARS"/>
    <s v="CC"/>
    <s v="NACION"/>
    <x v="1"/>
    <x v="1"/>
    <x v="1"/>
    <s v="DEBITO IVA FISCAL"/>
    <m/>
    <m/>
    <x v="1"/>
    <m/>
    <s v="24/25"/>
    <s v="EGRESOS"/>
    <s v="EFECTIVO Y OTROS ACT LÍQ EQ."/>
  </r>
  <r>
    <x v="4"/>
    <d v="2025-05-06T00:00:00"/>
    <s v="GRAVAMEN LEY 25413 S/DEB"/>
    <m/>
    <n v="5.74"/>
    <n v="0"/>
    <n v="-5.74"/>
    <m/>
    <n v="1153"/>
    <n v="4.9783174327840416E-3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4"/>
    <d v="2025-05-06T00:00:00"/>
    <s v="GRAVAMEN LEY 25413 S/DEB"/>
    <m/>
    <n v="1.2"/>
    <n v="0"/>
    <n v="-1.2"/>
    <m/>
    <n v="1154"/>
    <n v="1.0398613518197574E-3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4"/>
    <d v="2025-05-07T00:00:00"/>
    <s v="BCA.E.TR.O/BCO - CUIT/CUIL: 30708920882"/>
    <m/>
    <n v="0"/>
    <n v="50000"/>
    <n v="50000"/>
    <n v="-2991775.5"/>
    <n v="1155"/>
    <n v="0"/>
    <n v="43.290043290043293"/>
    <s v="ARS"/>
    <s v="CC"/>
    <s v="NACION"/>
    <x v="0"/>
    <x v="0"/>
    <x v="0"/>
    <s v="DESDE CC MACRO"/>
    <m/>
    <m/>
    <x v="0"/>
    <m/>
    <m/>
    <m/>
    <m/>
  </r>
  <r>
    <x v="4"/>
    <d v="2025-05-20T00:00:00"/>
    <s v="BCA.E.TR.O/BCO - CUIT/CUIL: 30708920882"/>
    <m/>
    <n v="0"/>
    <n v="10500000"/>
    <n v="10500000"/>
    <m/>
    <n v="1156"/>
    <n v="0"/>
    <n v="9083.0449826989625"/>
    <s v="ARS"/>
    <s v="CC"/>
    <s v="NACION"/>
    <x v="0"/>
    <x v="0"/>
    <x v="0"/>
    <s v="DESDE CC MACRO"/>
    <m/>
    <m/>
    <x v="0"/>
    <m/>
    <m/>
    <m/>
    <m/>
  </r>
  <r>
    <x v="4"/>
    <d v="2025-05-20T00:00:00"/>
    <s v="COBRADO POR CAJA"/>
    <m/>
    <n v="10000000"/>
    <n v="0"/>
    <n v="-10000000"/>
    <n v="-2551775.5"/>
    <n v="1157"/>
    <n v="8643.042350907519"/>
    <n v="0"/>
    <s v="ARS"/>
    <s v="CC"/>
    <s v="NACION"/>
    <x v="2"/>
    <x v="4"/>
    <x v="27"/>
    <s v="COSECHA"/>
    <s v="ALTINA JOSE"/>
    <m/>
    <x v="5"/>
    <m/>
    <s v="24/25"/>
    <s v="BIENES Y SERVICIOS"/>
    <s v="EFECTIVO Y OTROS ACT LÍQ EQ."/>
  </r>
  <r>
    <x v="4"/>
    <d v="2025-05-20T00:00:00"/>
    <s v="GRAVAMEN LEY 25413 S/DEB"/>
    <m/>
    <n v="60000"/>
    <n v="0"/>
    <n v="-60000"/>
    <n v="-2691247.12"/>
    <n v="1158"/>
    <n v="51.813471502590673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5"/>
    <d v="2025-06-02T00:00:00"/>
    <s v="COMISION PAQUETES"/>
    <m/>
    <n v="27000"/>
    <n v="0"/>
    <n v="-27000"/>
    <m/>
    <n v="1159"/>
    <n v="23.295944779982744"/>
    <n v="0"/>
    <s v="ARS"/>
    <s v="CC"/>
    <s v="NACION"/>
    <x v="1"/>
    <x v="7"/>
    <x v="9"/>
    <m/>
    <m/>
    <m/>
    <x v="1"/>
    <m/>
    <s v="24/25"/>
    <s v="EGRESOS"/>
    <s v="EFECTIVO Y OTROS ACT LÍQ EQ."/>
  </r>
  <r>
    <x v="5"/>
    <d v="2025-06-02T00:00:00"/>
    <s v="I.V.A. BASE"/>
    <m/>
    <n v="5670"/>
    <n v="0"/>
    <n v="-5670"/>
    <m/>
    <n v="1160"/>
    <n v="4.8879310344827589"/>
    <n v="0"/>
    <s v="ARS"/>
    <s v="CC"/>
    <s v="NACION"/>
    <x v="1"/>
    <x v="1"/>
    <x v="1"/>
    <s v="DEBITO IVA FISCAL"/>
    <m/>
    <m/>
    <x v="1"/>
    <m/>
    <s v="24/25"/>
    <s v="EGRESOS"/>
    <s v="EFECTIVO Y OTROS ACT LÍQ EQ."/>
  </r>
  <r>
    <x v="5"/>
    <d v="2025-06-02T00:00:00"/>
    <s v="RETEN. I.V.A. RG.2408"/>
    <m/>
    <n v="810"/>
    <n v="0"/>
    <n v="-810"/>
    <m/>
    <n v="1161"/>
    <n v="0.69767441860465118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5"/>
    <d v="2025-06-02T00:00:00"/>
    <s v="GRAVAMEN LEY 25413 S/DEB"/>
    <m/>
    <n v="162"/>
    <n v="0"/>
    <n v="-162"/>
    <m/>
    <n v="1162"/>
    <n v="0.13941480206540446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5"/>
    <d v="2025-06-02T00:00:00"/>
    <s v="GRAVAMEN LEY 25413 S/DEB"/>
    <m/>
    <n v="34.020000000000003"/>
    <n v="0"/>
    <n v="-34.020000000000003"/>
    <m/>
    <n v="1163"/>
    <n v="2.9251934651762686E-2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5"/>
    <d v="2025-06-02T00:00:00"/>
    <s v="GRAVAMEN LEY 25413 S/DEB"/>
    <m/>
    <n v="4.8600000000000003"/>
    <n v="0"/>
    <n v="-4.8600000000000003"/>
    <m/>
    <n v="1164"/>
    <n v="4.1752577319587635E-3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5"/>
    <d v="2025-06-12T00:00:00"/>
    <s v="BCA.E.TR.O/BCO - CUIT/CUIL: 30708920882"/>
    <m/>
    <n v="0"/>
    <n v="3000000"/>
    <n v="3000000"/>
    <n v="270769.62"/>
    <n v="1165"/>
    <n v="0"/>
    <n v="2575.1072961373388"/>
    <s v="ARS"/>
    <s v="CC"/>
    <s v="NACION"/>
    <x v="0"/>
    <x v="0"/>
    <x v="0"/>
    <s v="DESDE CC MACRO"/>
    <m/>
    <m/>
    <x v="0"/>
    <m/>
    <m/>
    <m/>
    <m/>
  </r>
  <r>
    <x v="5"/>
    <d v="2025-06-24T00:00:00"/>
    <s v="DEB.TRAN.INTERBMISMO TIT"/>
    <m/>
    <n v="950000"/>
    <n v="0"/>
    <n v="-950000"/>
    <n v="-679230.38"/>
    <n v="1166"/>
    <n v="814.75128644939969"/>
    <n v="0"/>
    <s v="ARS"/>
    <s v="CC"/>
    <s v="NACION"/>
    <x v="0"/>
    <x v="0"/>
    <x v="0"/>
    <s v="HACIA CC GALICIA"/>
    <m/>
    <m/>
    <x v="0"/>
    <m/>
    <m/>
    <m/>
    <m/>
  </r>
  <r>
    <x v="5"/>
    <d v="2025-06-25T00:00:00"/>
    <s v="COM TRANSFE ELECTRONICA"/>
    <m/>
    <n v="956"/>
    <n v="0"/>
    <n v="-956"/>
    <m/>
    <n v="1167"/>
    <n v="0.81919451585261349"/>
    <n v="0"/>
    <s v="ARS"/>
    <s v="CC"/>
    <s v="NACION"/>
    <x v="1"/>
    <x v="7"/>
    <x v="9"/>
    <m/>
    <m/>
    <m/>
    <x v="1"/>
    <m/>
    <s v="24/25"/>
    <s v="EGRESOS"/>
    <s v="EFECTIVO Y OTROS ACT LÍQ EQ."/>
  </r>
  <r>
    <x v="5"/>
    <d v="2025-06-25T00:00:00"/>
    <s v="I.V.A. BASE"/>
    <m/>
    <n v="200.76"/>
    <n v="0"/>
    <n v="-200.76"/>
    <m/>
    <n v="1168"/>
    <n v="0.17188356164383561"/>
    <n v="0"/>
    <s v="ARS"/>
    <s v="CC"/>
    <s v="NACION"/>
    <x v="1"/>
    <x v="1"/>
    <x v="1"/>
    <s v="DEBITO IVA FISCAL"/>
    <m/>
    <m/>
    <x v="1"/>
    <m/>
    <s v="24/25"/>
    <s v="EGRESOS"/>
    <s v="EFECTIVO Y OTROS ACT LÍQ EQ."/>
  </r>
  <r>
    <x v="5"/>
    <d v="2025-06-25T00:00:00"/>
    <s v="GRAVAMEN LEY 25413 S/DEB"/>
    <m/>
    <n v="5.74"/>
    <n v="0"/>
    <n v="-5.74"/>
    <m/>
    <n v="1169"/>
    <n v="4.910179640718563E-3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5"/>
    <d v="2025-06-25T00:00:00"/>
    <s v="GRAVAMEN LEY 25413 S/DEB"/>
    <m/>
    <n v="1.2"/>
    <n v="0"/>
    <n v="-1.2"/>
    <n v="-756087.91"/>
    <n v="1170"/>
    <n v="1.0256410256410256E-3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5"/>
    <d v="2025-06-27T00:00:00"/>
    <s v="INTERESES"/>
    <m/>
    <n v="75693.83"/>
    <n v="0"/>
    <n v="-75693.83"/>
    <m/>
    <n v="1171"/>
    <n v="64.640333048676339"/>
    <n v="0"/>
    <s v="ARS"/>
    <s v="CC"/>
    <s v="NACION"/>
    <x v="1"/>
    <x v="6"/>
    <x v="8"/>
    <m/>
    <m/>
    <m/>
    <x v="1"/>
    <m/>
    <s v="24/25"/>
    <s v="EGRESOS"/>
    <s v="EFECTIVO Y OTROS ACT LÍQ EQ."/>
  </r>
  <r>
    <x v="5"/>
    <d v="2025-06-27T00:00:00"/>
    <s v="GRAVAMEN LEY 25413 S/DEB"/>
    <m/>
    <n v="454.16"/>
    <n v="0"/>
    <n v="-454.16"/>
    <n v="-756542.07"/>
    <n v="1172"/>
    <n v="0.38750853242320821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6"/>
    <d v="2025-07-01T00:00:00"/>
    <s v="BCA.E.TR.O/BCO - CUIT/CUIL: 30708920882"/>
    <m/>
    <n v="0"/>
    <n v="770000"/>
    <n v="770000"/>
    <m/>
    <n v="1173"/>
    <n v="0"/>
    <n v="656.43648763853366"/>
    <s v="ARS"/>
    <s v="CC"/>
    <s v="NACION"/>
    <x v="0"/>
    <x v="0"/>
    <x v="0"/>
    <s v="DESDE CC MACRO"/>
    <m/>
    <m/>
    <x v="0"/>
    <m/>
    <m/>
    <m/>
    <m/>
  </r>
  <r>
    <x v="6"/>
    <d v="2025-07-01T00:00:00"/>
    <s v="COMISION PAQUETES"/>
    <m/>
    <n v="27000"/>
    <n v="0"/>
    <n v="-27000"/>
    <m/>
    <n v="1174"/>
    <n v="22.998296422487222"/>
    <n v="0"/>
    <s v="ARS"/>
    <s v="CC"/>
    <s v="NACION"/>
    <x v="1"/>
    <x v="7"/>
    <x v="9"/>
    <m/>
    <m/>
    <m/>
    <x v="1"/>
    <m/>
    <s v="24/25"/>
    <s v="EGRESOS"/>
    <s v="EFECTIVO Y OTROS ACT LÍQ EQ."/>
  </r>
  <r>
    <x v="6"/>
    <d v="2025-07-01T00:00:00"/>
    <s v="I.V.A. BASE"/>
    <m/>
    <n v="5670"/>
    <n v="0"/>
    <n v="-5670"/>
    <m/>
    <n v="1175"/>
    <n v="4.8255319148936167"/>
    <n v="0"/>
    <s v="ARS"/>
    <s v="CC"/>
    <s v="NACION"/>
    <x v="1"/>
    <x v="1"/>
    <x v="1"/>
    <s v="DEBITO IVA FISCAL"/>
    <m/>
    <m/>
    <x v="1"/>
    <m/>
    <s v="24/25"/>
    <s v="EGRESOS"/>
    <s v="EFECTIVO Y OTROS ACT LÍQ EQ."/>
  </r>
  <r>
    <x v="6"/>
    <d v="2025-07-01T00:00:00"/>
    <s v="RETEN. I.V.A. RG.2408"/>
    <m/>
    <n v="810"/>
    <n v="0"/>
    <n v="-810"/>
    <m/>
    <n v="1176"/>
    <n v="0.68877551020408168"/>
    <n v="0"/>
    <s v="ARS"/>
    <s v="CC"/>
    <s v="NACION"/>
    <x v="1"/>
    <x v="1"/>
    <x v="1"/>
    <s v="RETENCIONES"/>
    <m/>
    <m/>
    <x v="1"/>
    <m/>
    <s v="24/25"/>
    <s v="EGRESOS"/>
    <s v="EFECTIVO Y OTROS ACT LÍQ EQ."/>
  </r>
  <r>
    <x v="6"/>
    <d v="2025-07-01T00:00:00"/>
    <s v="GRAVAMEN LEY 25413 S/DEB"/>
    <m/>
    <n v="162"/>
    <n v="0"/>
    <n v="-162"/>
    <m/>
    <n v="1177"/>
    <n v="0.13763806287170774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6"/>
    <d v="2025-07-01T00:00:00"/>
    <s v="GRAVAMEN LEY 25413 S/DEB"/>
    <m/>
    <n v="34.020000000000003"/>
    <n v="0"/>
    <n v="-34.020000000000003"/>
    <m/>
    <n v="1178"/>
    <n v="2.8879456706281836E-2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6"/>
    <d v="2025-07-01T00:00:00"/>
    <s v="GRAVAMEN LEY 25413 S/DEB"/>
    <m/>
    <n v="4.8600000000000003"/>
    <n v="0"/>
    <n v="-4.8600000000000003"/>
    <n v="29775"/>
    <n v="1179"/>
    <n v="4.1221374045801529E-3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6"/>
    <d v="2025-07-02T00:00:00"/>
    <s v="BCA.E.TR.O/BCO - CUIT/CUIL: 30708920882"/>
    <m/>
    <n v="0"/>
    <n v="50000"/>
    <n v="50000"/>
    <n v="29777.05"/>
    <n v="1180"/>
    <n v="0"/>
    <n v="42.372881355932201"/>
    <s v="ARS"/>
    <s v="CC"/>
    <s v="NACION"/>
    <x v="0"/>
    <x v="0"/>
    <x v="0"/>
    <s v="DESDE CC MACRO"/>
    <m/>
    <m/>
    <x v="0"/>
    <m/>
    <m/>
    <m/>
    <m/>
  </r>
  <r>
    <x v="6"/>
    <d v="2025-07-25T00:00:00"/>
    <s v="VARIOS"/>
    <m/>
    <n v="6050"/>
    <n v="0"/>
    <n v="-6050"/>
    <m/>
    <n v="1181"/>
    <n v="5.1227773073666381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6"/>
    <d v="2025-07-25T00:00:00"/>
    <s v="GRAVAMEN LEY 25413 S/DEB"/>
    <m/>
    <n v="36.299999999999997"/>
    <n v="0"/>
    <n v="-36.299999999999997"/>
    <n v="17164.439999999999"/>
    <n v="1182"/>
    <n v="3.0710659898477155E-2"/>
    <n v="0"/>
    <s v="ARS"/>
    <s v="CC"/>
    <s v="NACION"/>
    <x v="1"/>
    <x v="1"/>
    <x v="1"/>
    <s v="TASA GRAL"/>
    <m/>
    <m/>
    <x v="1"/>
    <m/>
    <s v="24/25"/>
    <s v="EGRESOS"/>
    <s v="EFECTIVO Y OTROS ACT LÍQ EQ."/>
  </r>
  <r>
    <x v="0"/>
    <d v="2025-01-02T00:00:00"/>
    <s v="PERCEP. IVA"/>
    <m/>
    <n v="1260"/>
    <n v="0"/>
    <n v="-1260"/>
    <n v="25700.49"/>
    <n v="1140"/>
    <n v="1.1052631578947369"/>
    <n v="0"/>
    <s v="ARS"/>
    <s v="CC"/>
    <s v="GALICIA"/>
    <x v="1"/>
    <x v="1"/>
    <x v="1"/>
    <s v="IVA PERCEPCION"/>
    <m/>
    <m/>
    <x v="1"/>
    <m/>
    <s v="24/25"/>
    <s v="EGRESOS"/>
    <s v="EFECTIVO Y OTROS ACT LÍQ EQ."/>
  </r>
  <r>
    <x v="0"/>
    <d v="2025-01-02T00:00:00"/>
    <s v="IVA"/>
    <m/>
    <n v="8820"/>
    <n v="0"/>
    <n v="-8820"/>
    <n v="16880.490000000002"/>
    <n v="1140"/>
    <n v="7.7368421052631575"/>
    <n v="0"/>
    <s v="ARS"/>
    <s v="CC"/>
    <s v="GALICIA"/>
    <x v="1"/>
    <x v="1"/>
    <x v="1"/>
    <s v="DEBITO IVA FISCAL"/>
    <m/>
    <m/>
    <x v="1"/>
    <m/>
    <s v="24/25"/>
    <s v="EGRESOS"/>
    <s v="EFECTIVO Y OTROS ACT LÍQ EQ."/>
  </r>
  <r>
    <x v="0"/>
    <d v="2025-01-02T00:00:00"/>
    <s v="COMISION SERVICIO DE CUENTA"/>
    <m/>
    <n v="42000"/>
    <n v="0"/>
    <n v="-42000"/>
    <n v="-25119.51"/>
    <n v="1140"/>
    <n v="36.842105263157897"/>
    <n v="0"/>
    <s v="ARS"/>
    <s v="CC"/>
    <s v="GALICIA"/>
    <x v="1"/>
    <x v="7"/>
    <x v="9"/>
    <m/>
    <m/>
    <m/>
    <x v="1"/>
    <m/>
    <s v="24/25"/>
    <s v="EGRESOS"/>
    <s v="EFECTIVO Y OTROS ACT LÍQ EQ."/>
  </r>
  <r>
    <x v="0"/>
    <d v="2025-01-02T00:00:00"/>
    <s v="IMP. DEB. LEY 25413 GRAL."/>
    <m/>
    <n v="312.48"/>
    <n v="0"/>
    <n v="-312.48"/>
    <n v="-25431.99"/>
    <n v="1140"/>
    <n v="0.27410526315789474"/>
    <n v="0"/>
    <s v="ARS"/>
    <s v="CC"/>
    <s v="GALICIA"/>
    <x v="1"/>
    <x v="1"/>
    <x v="1"/>
    <s v="TASA GRAL"/>
    <m/>
    <m/>
    <x v="1"/>
    <m/>
    <s v="24/25"/>
    <s v="EGRESOS"/>
    <s v="EFECTIVO Y OTROS ACT LÍQ EQ."/>
  </r>
  <r>
    <x v="0"/>
    <d v="2025-01-02T00:00:00"/>
    <s v="INTERESES SOBRE SALDOS DEUDORES"/>
    <m/>
    <n v="58456.03"/>
    <n v="0"/>
    <n v="-58456.03"/>
    <n v="-83888.02"/>
    <n v="1140"/>
    <n v="51.277219298245612"/>
    <n v="0"/>
    <s v="ARS"/>
    <s v="CC"/>
    <s v="GALICIA"/>
    <x v="1"/>
    <x v="6"/>
    <x v="8"/>
    <m/>
    <m/>
    <m/>
    <x v="1"/>
    <m/>
    <s v="24/25"/>
    <s v="EGRESOS"/>
    <s v="EFECTIVO Y OTROS ACT LÍQ EQ."/>
  </r>
  <r>
    <x v="0"/>
    <d v="2025-01-02T00:00:00"/>
    <s v="IMPUESTO DE SELLOS"/>
    <m/>
    <n v="1352.37"/>
    <n v="0"/>
    <n v="-1352.37"/>
    <n v="-85240.39"/>
    <n v="1140"/>
    <n v="1.1862894736842104"/>
    <n v="0"/>
    <s v="ARS"/>
    <s v="CC"/>
    <s v="GALICIA"/>
    <x v="1"/>
    <x v="1"/>
    <x v="1"/>
    <s v="SELLOS"/>
    <m/>
    <m/>
    <x v="1"/>
    <m/>
    <s v="24/25"/>
    <s v="EGRESOS"/>
    <s v="EFECTIVO Y OTROS ACT LÍQ EQ."/>
  </r>
  <r>
    <x v="0"/>
    <d v="2025-01-02T00:00:00"/>
    <s v="IVA"/>
    <m/>
    <n v="6137.88"/>
    <n v="0"/>
    <n v="-6137.88"/>
    <n v="-91378.27"/>
    <n v="1140"/>
    <n v="5.3841052631578945"/>
    <n v="0"/>
    <s v="ARS"/>
    <s v="CC"/>
    <s v="GALICIA"/>
    <x v="1"/>
    <x v="1"/>
    <x v="1"/>
    <s v="DEBITO IVA FISCAL"/>
    <m/>
    <m/>
    <x v="1"/>
    <m/>
    <s v="24/25"/>
    <s v="EGRESOS"/>
    <s v="EFECTIVO Y OTROS ACT LÍQ EQ."/>
  </r>
  <r>
    <x v="0"/>
    <d v="2025-01-02T00:00:00"/>
    <s v="PERCEP. IVA"/>
    <m/>
    <n v="876.84"/>
    <n v="0"/>
    <n v="-876.84"/>
    <n v="-92255.11"/>
    <n v="1140"/>
    <n v="0.76915789473684215"/>
    <n v="0"/>
    <s v="ARS"/>
    <s v="CC"/>
    <s v="GALICIA"/>
    <x v="1"/>
    <x v="1"/>
    <x v="1"/>
    <s v="IVA PERCEPCION"/>
    <m/>
    <m/>
    <x v="1"/>
    <m/>
    <s v="24/25"/>
    <s v="EGRESOS"/>
    <s v="EFECTIVO Y OTROS ACT LÍQ EQ."/>
  </r>
  <r>
    <x v="0"/>
    <d v="2025-01-02T00:00:00"/>
    <s v="IMP. DEB. LEY 25413 GRAL."/>
    <m/>
    <n v="400.94"/>
    <n v="0"/>
    <n v="-400.94"/>
    <n v="-92656.05"/>
    <n v="1140"/>
    <n v="0.3517017543859649"/>
    <n v="0"/>
    <s v="ARS"/>
    <s v="CC"/>
    <s v="GALICIA"/>
    <x v="1"/>
    <x v="1"/>
    <x v="1"/>
    <s v="DEBITO IVA FISCAL"/>
    <m/>
    <m/>
    <x v="1"/>
    <m/>
    <s v="24/25"/>
    <s v="EGRESOS"/>
    <s v="EFECTIVO Y OTROS ACT LÍQ EQ."/>
  </r>
  <r>
    <x v="0"/>
    <d v="2025-01-09T00:00:00"/>
    <s v="TRF INMED PROVEED"/>
    <m/>
    <n v="326700"/>
    <n v="0"/>
    <n v="-326700"/>
    <n v="-419356.05"/>
    <n v="1140"/>
    <n v="286.57894736842104"/>
    <n v="0"/>
    <s v="ARS"/>
    <s v="CC"/>
    <s v="GALICIA"/>
    <x v="2"/>
    <x v="4"/>
    <x v="27"/>
    <s v="FLETES FERTILIZANTE"/>
    <s v="TRANSP. MDB"/>
    <s v="FA6973"/>
    <x v="4"/>
    <m/>
    <s v="24/25"/>
    <s v="BIENES Y SERVICIOS"/>
    <s v="EFECTIVO Y OTROS ACT LÍQ EQ."/>
  </r>
  <r>
    <x v="0"/>
    <d v="2025-01-09T00:00:00"/>
    <s v="IMP. DEB. LEY 25413 GRAL."/>
    <m/>
    <n v="1960.2"/>
    <n v="0"/>
    <n v="-1960.2"/>
    <n v="-421316.25"/>
    <n v="1140"/>
    <n v="1.7194736842105263"/>
    <n v="0"/>
    <s v="ARS"/>
    <s v="CC"/>
    <s v="GALICIA"/>
    <x v="1"/>
    <x v="1"/>
    <x v="1"/>
    <s v="TASA GRAL"/>
    <m/>
    <m/>
    <x v="1"/>
    <m/>
    <s v="24/25"/>
    <s v="EGRESOS"/>
    <s v="EFECTIVO Y OTROS ACT LÍQ EQ."/>
  </r>
  <r>
    <x v="0"/>
    <d v="2025-01-13T00:00:00"/>
    <s v="TRF INMED PROVEED"/>
    <m/>
    <n v="32500"/>
    <n v="0"/>
    <n v="-32500"/>
    <n v="-453816.25"/>
    <n v="1140"/>
    <n v="28.508771929824562"/>
    <n v="0"/>
    <s v="ARS"/>
    <s v="CC"/>
    <s v="GALICIA"/>
    <x v="3"/>
    <x v="5"/>
    <x v="28"/>
    <s v="MES DICIEMBRE"/>
    <s v="CHICHIN PICCO"/>
    <m/>
    <x v="7"/>
    <m/>
    <s v="24/25"/>
    <s v="BIENES Y SERVICIOS"/>
    <s v="EFECTIVO Y OTROS ACT LÍQ EQ."/>
  </r>
  <r>
    <x v="0"/>
    <d v="2025-01-13T00:00:00"/>
    <s v="IMP. DEB. LEY 25413 GRAL."/>
    <m/>
    <n v="195"/>
    <n v="0"/>
    <n v="-195"/>
    <n v="-454011.25"/>
    <n v="1140"/>
    <n v="0.17105263157894737"/>
    <n v="0"/>
    <s v="ARS"/>
    <s v="CC"/>
    <s v="GALICIA"/>
    <x v="1"/>
    <x v="1"/>
    <x v="1"/>
    <s v="TASA GRAL"/>
    <m/>
    <m/>
    <x v="1"/>
    <m/>
    <s v="24/25"/>
    <s v="EGRESOS"/>
    <s v="EFECTIVO Y OTROS ACT LÍQ EQ."/>
  </r>
  <r>
    <x v="0"/>
    <d v="2025-01-14T00:00:00"/>
    <s v="TRANSF INMED CP"/>
    <m/>
    <n v="1800000"/>
    <n v="0"/>
    <n v="-1800000"/>
    <n v="-2254011.25"/>
    <n v="1140"/>
    <n v="1578.9473684210527"/>
    <n v="0"/>
    <s v="ARS"/>
    <s v="CC"/>
    <s v="GALICIA"/>
    <x v="0"/>
    <x v="0"/>
    <x v="0"/>
    <s v="HACIA EL MACRO"/>
    <m/>
    <m/>
    <x v="0"/>
    <m/>
    <s v="24/25"/>
    <m/>
    <m/>
  </r>
  <r>
    <x v="0"/>
    <d v="2025-01-16T00:00:00"/>
    <s v="IMP. DEB. LEY 25413 GRAL."/>
    <m/>
    <n v="61.43"/>
    <n v="0"/>
    <n v="-61.43"/>
    <n v="-2264311.83"/>
    <n v="1140"/>
    <n v="5.3885964912280704E-2"/>
    <n v="0"/>
    <s v="ARS"/>
    <s v="CC"/>
    <s v="GALICIA"/>
    <x v="1"/>
    <x v="1"/>
    <x v="1"/>
    <s v="TASA GRAL"/>
    <m/>
    <m/>
    <x v="1"/>
    <m/>
    <s v="24/25"/>
    <s v="EGRESOS"/>
    <s v="EFECTIVO Y OTROS ACT LÍQ EQ."/>
  </r>
  <r>
    <x v="0"/>
    <d v="2025-01-16T00:00:00"/>
    <s v="TRF INMED PROVEED"/>
    <m/>
    <n v="10239.15"/>
    <n v="0"/>
    <n v="-10239.15"/>
    <n v="-2264250.4"/>
    <n v="1140"/>
    <n v="8.9817105263157888"/>
    <n v="0"/>
    <s v="ARS"/>
    <s v="CC"/>
    <s v="GALICIA"/>
    <x v="3"/>
    <x v="5"/>
    <x v="29"/>
    <s v="INSUMOS PARA PILETA"/>
    <s v="SUR SANITARIOS"/>
    <s v="FA6248"/>
    <x v="6"/>
    <m/>
    <s v="25/26"/>
    <s v="INFRAESTRUCTURA"/>
    <s v="EFECTIVO Y OTROS ACT LÍQ EQ."/>
  </r>
  <r>
    <x v="1"/>
    <d v="2025-02-03T00:00:00"/>
    <s v="COMISION SERVICIO DE CUENTA"/>
    <m/>
    <n v="42000"/>
    <n v="0"/>
    <n v="-42000"/>
    <n v="-2306311.83"/>
    <n v="1140"/>
    <n v="36.842105263157897"/>
    <n v="0"/>
    <s v="ARS"/>
    <s v="CC"/>
    <s v="GALICIA"/>
    <x v="1"/>
    <x v="7"/>
    <x v="9"/>
    <m/>
    <m/>
    <m/>
    <x v="1"/>
    <m/>
    <s v="24/25"/>
    <s v="EGRESOS"/>
    <s v="EFECTIVO Y OTROS ACT LÍQ EQ."/>
  </r>
  <r>
    <x v="1"/>
    <d v="2025-02-03T00:00:00"/>
    <s v="IVA"/>
    <m/>
    <n v="8820"/>
    <n v="0"/>
    <n v="-8820"/>
    <n v="-2315131.83"/>
    <n v="1140"/>
    <n v="7.7368421052631575"/>
    <n v="0"/>
    <s v="ARS"/>
    <s v="CC"/>
    <s v="GALICIA"/>
    <x v="1"/>
    <x v="1"/>
    <x v="1"/>
    <s v="DEBITO IVA FISCAL"/>
    <m/>
    <m/>
    <x v="1"/>
    <m/>
    <s v="24/25"/>
    <s v="EGRESOS"/>
    <s v="EFECTIVO Y OTROS ACT LÍQ EQ."/>
  </r>
  <r>
    <x v="1"/>
    <d v="2025-02-03T00:00:00"/>
    <s v="PERCEP. IVA"/>
    <m/>
    <n v="1260"/>
    <n v="0"/>
    <n v="-1260"/>
    <n v="-2316391.83"/>
    <n v="1140"/>
    <n v="1.1052631578947369"/>
    <n v="0"/>
    <s v="ARS"/>
    <s v="CC"/>
    <s v="GALICIA"/>
    <x v="1"/>
    <x v="1"/>
    <x v="1"/>
    <s v="TASA GRAL"/>
    <m/>
    <m/>
    <x v="1"/>
    <m/>
    <s v="24/25"/>
    <s v="EGRESOS"/>
    <s v="EFECTIVO Y OTROS ACT LÍQ EQ."/>
  </r>
  <r>
    <x v="1"/>
    <d v="2025-02-03T00:00:00"/>
    <s v="IMP. DEB. LEY 25413 GRAL."/>
    <m/>
    <n v="312.48"/>
    <n v="0"/>
    <n v="-312.48"/>
    <n v="-2316704.31"/>
    <n v="1140"/>
    <n v="0.27410526315789474"/>
    <n v="0"/>
    <s v="ARS"/>
    <s v="CC"/>
    <s v="GALICIA"/>
    <x v="1"/>
    <x v="1"/>
    <x v="1"/>
    <s v="DEBITO IVA FISCAL"/>
    <m/>
    <m/>
    <x v="1"/>
    <m/>
    <s v="24/25"/>
    <s v="EGRESOS"/>
    <s v="EFECTIVO Y OTROS ACT LÍQ EQ."/>
  </r>
  <r>
    <x v="1"/>
    <d v="2025-02-03T00:00:00"/>
    <s v="INTERESES SOBRE SALDOS DEUDORES"/>
    <m/>
    <n v="59623.12"/>
    <n v="0"/>
    <n v="-59623.12"/>
    <n v="-2376327.4300000002"/>
    <n v="1140"/>
    <n v="52.300982456140353"/>
    <n v="0"/>
    <s v="ARS"/>
    <s v="CC"/>
    <s v="GALICIA"/>
    <x v="1"/>
    <x v="6"/>
    <x v="8"/>
    <s v="TASA GRAL"/>
    <m/>
    <m/>
    <x v="1"/>
    <m/>
    <s v="24/25"/>
    <s v="EGRESOS"/>
    <s v="EFECTIVO Y OTROS ACT LÍQ EQ."/>
  </r>
  <r>
    <x v="1"/>
    <d v="2025-02-03T00:00:00"/>
    <s v="IMPUESTO DE SELLOS"/>
    <m/>
    <n v="1430.95"/>
    <n v="0"/>
    <n v="-1430.95"/>
    <n v="-2377758.38"/>
    <n v="1140"/>
    <n v="1.2552192982456141"/>
    <n v="0"/>
    <s v="ARS"/>
    <s v="CC"/>
    <s v="GALICIA"/>
    <x v="1"/>
    <x v="1"/>
    <x v="1"/>
    <s v="SELLOS"/>
    <m/>
    <m/>
    <x v="1"/>
    <m/>
    <s v="24/25"/>
    <s v="EGRESOS"/>
    <s v="EFECTIVO Y OTROS ACT LÍQ EQ."/>
  </r>
  <r>
    <x v="1"/>
    <d v="2025-02-03T00:00:00"/>
    <s v="IVA"/>
    <m/>
    <n v="6260.43"/>
    <n v="0"/>
    <n v="-6260.43"/>
    <n v="-2384018.81"/>
    <n v="1140"/>
    <n v="5.4916052631578953"/>
    <n v="0"/>
    <s v="ARS"/>
    <s v="CC"/>
    <s v="GALICIA"/>
    <x v="1"/>
    <x v="1"/>
    <x v="1"/>
    <s v="DEBITO IVA FISCAL"/>
    <m/>
    <m/>
    <x v="1"/>
    <m/>
    <s v="24/25"/>
    <s v="EGRESOS"/>
    <s v="EFECTIVO Y OTROS ACT LÍQ EQ."/>
  </r>
  <r>
    <x v="1"/>
    <d v="2025-02-03T00:00:00"/>
    <s v="PERCEP. IVA"/>
    <m/>
    <n v="894.35"/>
    <n v="0"/>
    <n v="-894.35"/>
    <n v="-2384913.16"/>
    <n v="1140"/>
    <n v="0.78451754385964911"/>
    <n v="0"/>
    <s v="ARS"/>
    <s v="CC"/>
    <s v="GALICIA"/>
    <x v="1"/>
    <x v="1"/>
    <x v="1"/>
    <s v="IVA PERCEPCION"/>
    <m/>
    <m/>
    <x v="1"/>
    <m/>
    <s v="24/25"/>
    <s v="EGRESOS"/>
    <s v="EFECTIVO Y OTROS ACT LÍQ EQ."/>
  </r>
  <r>
    <x v="1"/>
    <d v="2025-02-03T00:00:00"/>
    <s v="IMP. DEB. LEY 25413 GRAL."/>
    <m/>
    <n v="409.25"/>
    <n v="0"/>
    <n v="-409.25"/>
    <n v="-2385322.41"/>
    <n v="1140"/>
    <n v="0.35899122807017542"/>
    <n v="0"/>
    <s v="ARS"/>
    <s v="CC"/>
    <s v="GALICIA"/>
    <x v="1"/>
    <x v="1"/>
    <x v="1"/>
    <s v="TASA GRAL"/>
    <m/>
    <m/>
    <x v="1"/>
    <m/>
    <s v="24/25"/>
    <s v="EGRESOS"/>
    <s v="EFECTIVO Y OTROS ACT LÍQ EQ."/>
  </r>
  <r>
    <x v="1"/>
    <d v="2025-02-25T00:00:00"/>
    <s v="CHEQUE 48 HS. "/>
    <s v="N68698131"/>
    <n v="1550000"/>
    <n v="0"/>
    <n v="-1550000"/>
    <n v="-3935322.41"/>
    <n v="1140"/>
    <n v="1359.6491228070176"/>
    <n v="0"/>
    <s v="ARS"/>
    <s v="CC"/>
    <s v="GALICIA"/>
    <x v="3"/>
    <x v="14"/>
    <x v="22"/>
    <m/>
    <s v="RUSO MALDONADO"/>
    <m/>
    <x v="5"/>
    <m/>
    <s v="24/25"/>
    <s v="BIENES DE USO"/>
    <s v="EFECTIVO Y OTROS ACT LÍQ EQ."/>
  </r>
  <r>
    <x v="1"/>
    <d v="2025-02-25T00:00:00"/>
    <s v="IMP. DEB. LEY 25413 GRAL."/>
    <m/>
    <n v="9300"/>
    <n v="0"/>
    <n v="-9300"/>
    <n v="-3944622.41"/>
    <n v="1140"/>
    <n v="8.1578947368421044"/>
    <n v="0"/>
    <s v="ARS"/>
    <s v="CC"/>
    <s v="GALICIA"/>
    <x v="1"/>
    <x v="1"/>
    <x v="1"/>
    <s v="TASA GRAL"/>
    <m/>
    <m/>
    <x v="1"/>
    <m/>
    <s v="24/25"/>
    <s v="EGRESOS"/>
    <s v="EFECTIVO Y OTROS ACT LÍQ EQ."/>
  </r>
  <r>
    <x v="1"/>
    <d v="2025-02-26T00:00:00"/>
    <s v="TRANSF INMED CP"/>
    <m/>
    <n v="1500000"/>
    <n v="0"/>
    <n v="-1500000"/>
    <n v="-5444622.4100000001"/>
    <n v="1140"/>
    <n v="1315.7894736842106"/>
    <n v="0"/>
    <s v="ARS"/>
    <s v="CC"/>
    <s v="GALICIA"/>
    <x v="0"/>
    <x v="0"/>
    <x v="0"/>
    <s v="HACIA EL PAMPA"/>
    <m/>
    <m/>
    <x v="0"/>
    <m/>
    <s v="24/25"/>
    <m/>
    <m/>
  </r>
  <r>
    <x v="2"/>
    <d v="2025-03-05T00:00:00"/>
    <s v="TRANSF INMED CP"/>
    <m/>
    <n v="300000"/>
    <n v="0"/>
    <n v="-300000"/>
    <n v="-5744622.4100000001"/>
    <n v="1140"/>
    <n v="263.15789473684208"/>
    <n v="0"/>
    <s v="ARS"/>
    <s v="CC"/>
    <s v="GALICIA"/>
    <x v="0"/>
    <x v="0"/>
    <x v="0"/>
    <s v="HACIA EL MACRO"/>
    <m/>
    <m/>
    <x v="0"/>
    <m/>
    <s v="24/25"/>
    <m/>
    <m/>
  </r>
  <r>
    <x v="2"/>
    <d v="2025-03-05T00:00:00"/>
    <s v="TRANSF INMED CP"/>
    <m/>
    <n v="1400000"/>
    <n v="0"/>
    <n v="-1400000"/>
    <n v="-7144622.4100000001"/>
    <n v="1140"/>
    <n v="1228.0701754385964"/>
    <n v="0"/>
    <s v="ARS"/>
    <s v="CC"/>
    <s v="GALICIA"/>
    <x v="0"/>
    <x v="0"/>
    <x v="0"/>
    <s v="HACIA EL MACRO"/>
    <m/>
    <m/>
    <x v="0"/>
    <m/>
    <s v="24/25"/>
    <m/>
    <m/>
  </r>
  <r>
    <x v="2"/>
    <d v="2025-03-05T00:00:00"/>
    <s v="COMISION SERVICIO DE CUENTA"/>
    <m/>
    <n v="42000"/>
    <n v="0"/>
    <n v="-42000"/>
    <n v="-7186622.4100000001"/>
    <n v="1140"/>
    <n v="36.842105263157897"/>
    <n v="0"/>
    <s v="ARS"/>
    <s v="CC"/>
    <s v="GALICIA"/>
    <x v="1"/>
    <x v="7"/>
    <x v="9"/>
    <m/>
    <m/>
    <m/>
    <x v="1"/>
    <m/>
    <s v="24/25"/>
    <s v="EGRESOS"/>
    <s v="EFECTIVO Y OTROS ACT LÍQ EQ."/>
  </r>
  <r>
    <x v="2"/>
    <d v="2025-03-05T00:00:00"/>
    <s v="IVA"/>
    <m/>
    <n v="8820"/>
    <n v="0"/>
    <n v="-8820"/>
    <n v="-7195442.4100000001"/>
    <n v="1140"/>
    <n v="7.7368421052631575"/>
    <n v="0"/>
    <s v="ARS"/>
    <s v="CC"/>
    <s v="GALICIA"/>
    <x v="1"/>
    <x v="1"/>
    <x v="1"/>
    <s v="IVA"/>
    <m/>
    <m/>
    <x v="1"/>
    <m/>
    <s v="24/25"/>
    <s v="EGRESOS"/>
    <s v="EFECTIVO Y OTROS ACT LÍQ EQ."/>
  </r>
  <r>
    <x v="2"/>
    <d v="2025-03-05T00:00:00"/>
    <s v="PERCEP. IVA"/>
    <m/>
    <n v="1260"/>
    <n v="0"/>
    <n v="-1260"/>
    <n v="-7196702.4100000001"/>
    <n v="1140"/>
    <n v="1.1052631578947369"/>
    <n v="0"/>
    <s v="ARS"/>
    <s v="CC"/>
    <s v="GALICIA"/>
    <x v="1"/>
    <x v="1"/>
    <x v="1"/>
    <s v="IVA PERCEPCION"/>
    <m/>
    <m/>
    <x v="1"/>
    <m/>
    <s v="24/25"/>
    <s v="EGRESOS"/>
    <s v="EFECTIVO Y OTROS ACT LÍQ EQ."/>
  </r>
  <r>
    <x v="2"/>
    <d v="2025-03-05T00:00:00"/>
    <s v="COMISION CHEQUE PAGADO POR CLEARING"/>
    <m/>
    <n v="1100"/>
    <n v="0"/>
    <n v="-1100"/>
    <n v="-7197802.4100000001"/>
    <n v="1140"/>
    <n v="0.96491228070175439"/>
    <n v="0"/>
    <s v="ARS"/>
    <s v="CC"/>
    <s v="GALICIA"/>
    <x v="1"/>
    <x v="7"/>
    <x v="9"/>
    <m/>
    <m/>
    <m/>
    <x v="1"/>
    <m/>
    <s v="24/25"/>
    <s v="EGRESOS"/>
    <s v="EFECTIVO Y OTROS ACT LÍQ EQ."/>
  </r>
  <r>
    <x v="2"/>
    <d v="2025-03-05T00:00:00"/>
    <s v="IVA"/>
    <m/>
    <n v="231"/>
    <n v="0"/>
    <n v="-231"/>
    <n v="-7198033.4100000001"/>
    <n v="1140"/>
    <n v="0.20263157894736841"/>
    <n v="0"/>
    <s v="ARS"/>
    <s v="CC"/>
    <s v="GALICIA"/>
    <x v="1"/>
    <x v="1"/>
    <x v="1"/>
    <s v="IVA"/>
    <m/>
    <m/>
    <x v="1"/>
    <m/>
    <s v="24/25"/>
    <s v="EGRESOS"/>
    <s v="EFECTIVO Y OTROS ACT LÍQ EQ."/>
  </r>
  <r>
    <x v="2"/>
    <d v="2025-03-05T00:00:00"/>
    <s v="IMP. DEB. LEY 25413 GRAL."/>
    <m/>
    <n v="320.47000000000003"/>
    <n v="0"/>
    <n v="-320.47000000000003"/>
    <n v="-7198353.8799999999"/>
    <n v="1140"/>
    <n v="0.28111403508771932"/>
    <n v="0"/>
    <s v="ARS"/>
    <s v="CC"/>
    <s v="GALICIA"/>
    <x v="1"/>
    <x v="1"/>
    <x v="1"/>
    <s v="TASA GRAL"/>
    <m/>
    <m/>
    <x v="1"/>
    <m/>
    <s v="24/25"/>
    <s v="EGRESOS"/>
    <s v="EFECTIVO Y OTROS ACT LÍQ EQ."/>
  </r>
  <r>
    <x v="2"/>
    <d v="2025-03-05T00:00:00"/>
    <s v="INTERESES SOBRE SALDOS DEUDORES"/>
    <m/>
    <n v="105868.78"/>
    <n v="0"/>
    <n v="-105868.78"/>
    <n v="-7304222.6600000001"/>
    <n v="1140"/>
    <n v="92.867350877192976"/>
    <n v="0"/>
    <s v="ARS"/>
    <s v="CC"/>
    <s v="GALICIA"/>
    <x v="1"/>
    <x v="6"/>
    <x v="8"/>
    <m/>
    <m/>
    <m/>
    <x v="1"/>
    <m/>
    <s v="24/25"/>
    <s v="EGRESOS"/>
    <s v="EFECTIVO Y OTROS ACT LÍQ EQ."/>
  </r>
  <r>
    <x v="2"/>
    <d v="2025-03-05T00:00:00"/>
    <s v="IMPUESTO DE SELLOS"/>
    <m/>
    <n v="2540.85"/>
    <n v="0"/>
    <n v="-2540.85"/>
    <n v="-7306763.5099999998"/>
    <n v="1140"/>
    <n v="2.2288157894736842"/>
    <n v="0"/>
    <s v="ARS"/>
    <s v="CC"/>
    <s v="GALICIA"/>
    <x v="1"/>
    <x v="1"/>
    <x v="1"/>
    <s v="SELLOS"/>
    <m/>
    <m/>
    <x v="1"/>
    <m/>
    <s v="24/25"/>
    <s v="EGRESOS"/>
    <s v="EFECTIVO Y OTROS ACT LÍQ EQ."/>
  </r>
  <r>
    <x v="2"/>
    <d v="2025-03-05T00:00:00"/>
    <s v="IVA"/>
    <m/>
    <n v="11116.22"/>
    <n v="0"/>
    <n v="-11116.22"/>
    <n v="-7317879.7300000004"/>
    <n v="1140"/>
    <n v="9.7510701754385956"/>
    <n v="0"/>
    <s v="ARS"/>
    <s v="CC"/>
    <s v="GALICIA"/>
    <x v="1"/>
    <x v="1"/>
    <x v="1"/>
    <s v="IVA"/>
    <m/>
    <m/>
    <x v="1"/>
    <m/>
    <s v="24/25"/>
    <s v="EGRESOS"/>
    <s v="EFECTIVO Y OTROS ACT LÍQ EQ."/>
  </r>
  <r>
    <x v="2"/>
    <d v="2025-03-05T00:00:00"/>
    <s v="PERCEP. IVA"/>
    <m/>
    <n v="1588.03"/>
    <n v="0"/>
    <n v="-1588.03"/>
    <n v="-7319467.7599999998"/>
    <n v="1140"/>
    <n v="1.3930087719298245"/>
    <n v="0"/>
    <s v="ARS"/>
    <s v="CC"/>
    <s v="GALICIA"/>
    <x v="1"/>
    <x v="1"/>
    <x v="1"/>
    <s v="IVA PERCEPCION"/>
    <m/>
    <m/>
    <x v="1"/>
    <m/>
    <s v="24/25"/>
    <s v="EGRESOS"/>
    <s v="EFECTIVO Y OTROS ACT LÍQ EQ."/>
  </r>
  <r>
    <x v="2"/>
    <d v="2025-03-05T00:00:00"/>
    <s v="IMP. DEB. LEY 25413 GRAL."/>
    <m/>
    <n v="726.68"/>
    <n v="0"/>
    <n v="-726.68"/>
    <n v="-7320194.4400000004"/>
    <n v="1140"/>
    <n v="0.63743859649122803"/>
    <n v="0"/>
    <s v="ARS"/>
    <s v="CC"/>
    <s v="GALICIA"/>
    <x v="1"/>
    <x v="1"/>
    <x v="1"/>
    <s v="TASA GRAL"/>
    <m/>
    <m/>
    <x v="1"/>
    <m/>
    <s v="24/25"/>
    <s v="EGRESOS"/>
    <s v="EFECTIVO Y OTROS ACT LÍQ EQ."/>
  </r>
  <r>
    <x v="2"/>
    <d v="2025-03-07T00:00:00"/>
    <s v="CHEQUE 48 HS. "/>
    <s v="N68698139"/>
    <n v="453725"/>
    <n v="0"/>
    <n v="-453725"/>
    <n v="-7773919.4400000004"/>
    <n v="1140"/>
    <n v="398.00438596491227"/>
    <n v="0"/>
    <s v="ARS"/>
    <s v="CC"/>
    <s v="GALICIA"/>
    <x v="3"/>
    <x v="5"/>
    <x v="24"/>
    <s v="ELECT CASA"/>
    <s v="COOPERATIVA ELC"/>
    <m/>
    <x v="1"/>
    <m/>
    <s v="24/25"/>
    <s v="EGRESOS"/>
    <s v="EFECTIVO Y OTROS ACT LÍQ EQ."/>
  </r>
  <r>
    <x v="2"/>
    <d v="2025-03-07T00:00:00"/>
    <s v="TRANSFERENCIA DE CUENTA PROPIA"/>
    <m/>
    <n v="0"/>
    <n v="600000"/>
    <n v="600000"/>
    <n v="-7173919.4400000004"/>
    <n v="1140"/>
    <n v="0"/>
    <n v="526.31578947368416"/>
    <s v="ARS"/>
    <s v="CC"/>
    <s v="GALICIA"/>
    <x v="0"/>
    <x v="0"/>
    <x v="0"/>
    <s v="DESDE NACION"/>
    <m/>
    <m/>
    <x v="0"/>
    <m/>
    <s v="24/25"/>
    <m/>
    <m/>
  </r>
  <r>
    <x v="2"/>
    <d v="2025-03-07T00:00:00"/>
    <s v="IMP. DEB. LEY 25413 GRAL."/>
    <m/>
    <n v="2722.35"/>
    <n v="0"/>
    <n v="-2722.35"/>
    <n v="-7176641.79"/>
    <n v="1140"/>
    <n v="2.3880263157894737"/>
    <n v="0"/>
    <s v="ARS"/>
    <s v="CC"/>
    <s v="GALICIA"/>
    <x v="1"/>
    <x v="1"/>
    <x v="1"/>
    <s v="DEBITO IVA FISCAL"/>
    <m/>
    <m/>
    <x v="1"/>
    <m/>
    <s v="24/25"/>
    <s v="EGRESOS"/>
    <s v="EFECTIVO Y OTROS ACT LÍQ EQ."/>
  </r>
  <r>
    <x v="2"/>
    <d v="2025-03-10T00:00:00"/>
    <s v="TRANSF INMED CP"/>
    <m/>
    <n v="20000"/>
    <n v="0"/>
    <n v="-20000"/>
    <n v="-7196641.79"/>
    <n v="1140"/>
    <n v="17.543859649122808"/>
    <n v="0"/>
    <s v="ARS"/>
    <s v="CC"/>
    <s v="GALICIA"/>
    <x v="0"/>
    <x v="0"/>
    <x v="0"/>
    <s v="HACIA EL MACRO"/>
    <m/>
    <m/>
    <x v="0"/>
    <m/>
    <s v="24/25"/>
    <m/>
    <m/>
  </r>
  <r>
    <x v="2"/>
    <d v="2025-03-11T00:00:00"/>
    <s v="CHEQUE 48 HS. "/>
    <s v="N68698136"/>
    <n v="87437.25"/>
    <n v="0"/>
    <n v="-87437.25"/>
    <n v="-7284079.04"/>
    <n v="1140"/>
    <n v="76.699342105263156"/>
    <n v="0"/>
    <s v="ARS"/>
    <s v="CC"/>
    <s v="GALICIA"/>
    <x v="3"/>
    <x v="5"/>
    <x v="7"/>
    <m/>
    <s v="CANSECO"/>
    <s v="FA209 FA 152"/>
    <x v="6"/>
    <m/>
    <s v="24/25"/>
    <s v="BIENES Y SERVICIOS"/>
    <s v="EFECTIVO Y OTROS ACT LÍQ EQ."/>
  </r>
  <r>
    <x v="2"/>
    <d v="2025-03-11T00:00:00"/>
    <s v="CHEQUE 48 HS. "/>
    <s v="N68698134"/>
    <n v="448263.38"/>
    <n v="0"/>
    <n v="-448263.38"/>
    <n v="-7644905.1699999999"/>
    <n v="1140"/>
    <n v="393.21349122807015"/>
    <n v="0"/>
    <s v="ARS"/>
    <s v="CC"/>
    <s v="GALICIA"/>
    <x v="3"/>
    <x v="5"/>
    <x v="7"/>
    <m/>
    <s v="ZANOTTO "/>
    <s v="FA2833"/>
    <x v="6"/>
    <m/>
    <s v="24/25"/>
    <s v="BIENES Y SERVICIOS"/>
    <s v="EFECTIVO Y OTROS ACT LÍQ EQ."/>
  </r>
  <r>
    <x v="2"/>
    <d v="2025-03-11T00:00:00"/>
    <s v="TRANSFERENCIA DE TERCEROS"/>
    <m/>
    <n v="0"/>
    <n v="550000"/>
    <n v="550000"/>
    <n v="-7182342"/>
    <n v="1140"/>
    <n v="0"/>
    <n v="482.45614035087721"/>
    <s v="ARS"/>
    <s v="CC"/>
    <s v="GALICIA"/>
    <x v="1"/>
    <x v="2"/>
    <x v="14"/>
    <m/>
    <s v="RAUL"/>
    <m/>
    <x v="8"/>
    <s v="RAUL"/>
    <s v="24/25"/>
    <s v="EFECTIVO Y OTROS ACT LÍQ EQ."/>
    <s v="APORTES DE CAPITAL"/>
  </r>
  <r>
    <x v="2"/>
    <d v="2025-03-11T00:00:00"/>
    <s v="IMP. DEB. LEY 25413 GRAL."/>
    <m/>
    <n v="3214.2"/>
    <n v="0"/>
    <n v="-3214.2"/>
    <n v="-7185556.6200000001"/>
    <n v="1140"/>
    <n v="2.8194736842105264"/>
    <n v="0"/>
    <s v="ARS"/>
    <s v="CC"/>
    <s v="GALICIA"/>
    <x v="1"/>
    <x v="1"/>
    <x v="1"/>
    <s v="TASA GRAL"/>
    <m/>
    <m/>
    <x v="1"/>
    <m/>
    <s v="24/25"/>
    <s v="EGRESOS"/>
    <s v="EFECTIVO Y OTROS ACT LÍQ EQ."/>
  </r>
  <r>
    <x v="2"/>
    <d v="2025-03-11T00:00:00"/>
    <s v="IMP. CRE. LEY 25413"/>
    <m/>
    <n v="3300"/>
    <n v="0"/>
    <n v="-3300"/>
    <n v="-7188856.6200000001"/>
    <n v="1140"/>
    <n v="2.8947368421052633"/>
    <n v="0"/>
    <s v="ARS"/>
    <s v="CC"/>
    <s v="GALICIA"/>
    <x v="1"/>
    <x v="1"/>
    <x v="1"/>
    <s v="TASA GRAL"/>
    <m/>
    <m/>
    <x v="1"/>
    <m/>
    <s v="24/25"/>
    <s v="EGRESOS"/>
    <s v="EFECTIVO Y OTROS ACT LÍQ EQ."/>
  </r>
  <r>
    <x v="2"/>
    <d v="2025-03-12T00:00:00"/>
    <s v="TRANSF INMED CP"/>
    <m/>
    <n v="6100"/>
    <n v="0"/>
    <n v="-6100"/>
    <n v="-7199956.6200000001"/>
    <n v="1140"/>
    <n v="5.3508771929824563"/>
    <n v="0"/>
    <s v="ARS"/>
    <s v="CC"/>
    <s v="GALICIA"/>
    <x v="0"/>
    <x v="0"/>
    <x v="0"/>
    <s v="HACIA EL NACION"/>
    <m/>
    <m/>
    <x v="0"/>
    <m/>
    <m/>
    <m/>
    <m/>
  </r>
  <r>
    <x v="2"/>
    <d v="2025-03-12T00:00:00"/>
    <s v="TRANSF INMED CP"/>
    <m/>
    <n v="5000"/>
    <n v="0"/>
    <n v="-5000"/>
    <n v="-7193856.6200000001"/>
    <n v="1140"/>
    <n v="4.3859649122807021"/>
    <n v="0"/>
    <s v="ARS"/>
    <s v="CC"/>
    <s v="GALICIA"/>
    <x v="0"/>
    <x v="0"/>
    <x v="0"/>
    <s v="HACIA EL MACRO"/>
    <m/>
    <m/>
    <x v="0"/>
    <m/>
    <m/>
    <m/>
    <m/>
  </r>
  <r>
    <x v="2"/>
    <d v="2025-03-18T00:00:00"/>
    <s v="CHEQUE 48 HS. "/>
    <s v="N68698138"/>
    <n v="757427.09"/>
    <n v="0"/>
    <n v="-757427.09"/>
    <n v="-7957383.71"/>
    <n v="1140"/>
    <n v="664.40972807017545"/>
    <n v="0"/>
    <s v="ARS"/>
    <s v="CC"/>
    <s v="GALICIA"/>
    <x v="3"/>
    <x v="5"/>
    <x v="30"/>
    <s v="MES ENERO"/>
    <s v="MERLO"/>
    <m/>
    <x v="6"/>
    <m/>
    <s v="24/25"/>
    <s v="BIENES Y SERVICIOS"/>
    <s v="EFECTIVO Y OTROS ACT LÍQ EQ."/>
  </r>
  <r>
    <x v="2"/>
    <d v="2025-03-18T00:00:00"/>
    <s v="TRANSFER. CASH MISMA TITULARIDAD"/>
    <m/>
    <n v="0"/>
    <n v="760000"/>
    <n v="760000"/>
    <n v="-7197383.71"/>
    <n v="1140"/>
    <n v="0"/>
    <n v="666.66666666666663"/>
    <s v="ARS"/>
    <s v="CC"/>
    <s v="GALICIA"/>
    <x v="0"/>
    <x v="0"/>
    <x v="0"/>
    <s v="DESDE MACRO"/>
    <m/>
    <m/>
    <x v="0"/>
    <m/>
    <m/>
    <m/>
    <m/>
  </r>
  <r>
    <x v="2"/>
    <d v="2025-03-18T00:00:00"/>
    <s v="IMP. DEB. LEY 25413 GRAL."/>
    <m/>
    <n v="4544.5600000000004"/>
    <n v="0"/>
    <n v="-4544.5600000000004"/>
    <n v="-7201928.2699999996"/>
    <n v="1140"/>
    <n v="3.9864561403508776"/>
    <n v="0"/>
    <s v="ARS"/>
    <s v="CC"/>
    <s v="GALICIA"/>
    <x v="1"/>
    <x v="1"/>
    <x v="1"/>
    <s v="TASA GRAL"/>
    <m/>
    <m/>
    <x v="1"/>
    <m/>
    <s v="24/25"/>
    <s v="EGRESOS"/>
    <s v="EFECTIVO Y OTROS ACT LÍQ EQ."/>
  </r>
  <r>
    <x v="2"/>
    <d v="2025-03-19T00:00:00"/>
    <s v="TRANSFER. CASH MISMA TITULARIDAD"/>
    <m/>
    <n v="0"/>
    <n v="20000"/>
    <n v="20000"/>
    <n v="7181928.2699999996"/>
    <n v="1140"/>
    <n v="0"/>
    <n v="17.543859649122808"/>
    <s v="ARS"/>
    <s v="CC"/>
    <s v="GALICIA"/>
    <x v="0"/>
    <x v="0"/>
    <x v="0"/>
    <s v="DESDE EL MACR"/>
    <m/>
    <m/>
    <x v="0"/>
    <m/>
    <m/>
    <m/>
    <m/>
  </r>
  <r>
    <x v="2"/>
    <d v="2025-03-26T00:00:00"/>
    <s v="CHEQUE 48 HS. "/>
    <s v="N68698137"/>
    <n v="133425.44"/>
    <n v="0"/>
    <n v="-133425.44"/>
    <n v="-7315353.71"/>
    <n v="1140"/>
    <n v="117.0398596491228"/>
    <n v="0"/>
    <s v="ARS"/>
    <s v="CC"/>
    <s v="GALICIA"/>
    <x v="5"/>
    <x v="13"/>
    <x v="21"/>
    <s v="INSUMOS"/>
    <s v="EL CALDEN"/>
    <s v="FA75 FA 37"/>
    <x v="6"/>
    <m/>
    <s v="24/25"/>
    <s v="BIENES Y SERVICIOS"/>
    <s v="EFECTIVO Y OTROS ACT LÍQ EQ."/>
  </r>
  <r>
    <x v="2"/>
    <d v="2025-03-26T00:00:00"/>
    <s v="CHEQUE 48 HS. "/>
    <s v="N68698133"/>
    <n v="1550000"/>
    <n v="0"/>
    <n v="-1550000"/>
    <n v="-8731928.2699999996"/>
    <n v="1140"/>
    <n v="1359.6491228070176"/>
    <n v="0"/>
    <s v="ARS"/>
    <s v="CC"/>
    <s v="GALICIA"/>
    <x v="3"/>
    <x v="14"/>
    <x v="22"/>
    <m/>
    <s v="RUSO MALDONADO"/>
    <m/>
    <x v="5"/>
    <m/>
    <s v="24/25"/>
    <s v="BIENES DE USO"/>
    <s v="EFECTIVO Y OTROS ACT LÍQ EQ."/>
  </r>
  <r>
    <x v="2"/>
    <d v="2025-03-26T00:00:00"/>
    <s v="TRANSFER. CASH MISMA TITULARIDAD"/>
    <m/>
    <n v="0"/>
    <n v="1700000"/>
    <n v="1700000"/>
    <n v="-7165353.71"/>
    <n v="1140"/>
    <n v="0"/>
    <n v="1491.2280701754387"/>
    <s v="ARS"/>
    <s v="CC"/>
    <s v="GALICIA"/>
    <x v="0"/>
    <x v="0"/>
    <x v="0"/>
    <s v="DESDE CC MACRO"/>
    <m/>
    <m/>
    <x v="0"/>
    <m/>
    <m/>
    <m/>
    <m/>
  </r>
  <r>
    <x v="2"/>
    <d v="2025-03-26T00:00:00"/>
    <s v="IMP. DEB. LEY 25413 GRAL."/>
    <m/>
    <n v="10100.549999999999"/>
    <n v="0"/>
    <n v="-10100.549999999999"/>
    <n v="-7175454.2599999998"/>
    <n v="1140"/>
    <n v="8.8601315789473674"/>
    <n v="0"/>
    <s v="ARS"/>
    <s v="CC"/>
    <s v="GALICIA"/>
    <x v="1"/>
    <x v="1"/>
    <x v="1"/>
    <s v="TASA GRAL"/>
    <m/>
    <m/>
    <x v="1"/>
    <m/>
    <s v="24/25"/>
    <s v="EGRESOS"/>
    <s v="EFECTIVO Y OTROS ACT LÍQ EQ."/>
  </r>
  <r>
    <x v="2"/>
    <d v="2025-03-28T00:00:00"/>
    <s v="TRF INMED PROVEED"/>
    <m/>
    <n v="8800"/>
    <n v="0"/>
    <n v="-8800"/>
    <n v="-7184254.2599999998"/>
    <n v="1140"/>
    <n v="7.7192982456140351"/>
    <n v="0"/>
    <s v="ARS"/>
    <s v="CC"/>
    <s v="GALICIA"/>
    <x v="4"/>
    <x v="16"/>
    <x v="31"/>
    <m/>
    <s v="VETERINARIA"/>
    <m/>
    <x v="5"/>
    <m/>
    <s v="24/25"/>
    <s v="BIENES Y SERVICIOS"/>
    <s v="EFECTIVO Y OTROS ACT LÍQ EQ."/>
  </r>
  <r>
    <x v="2"/>
    <d v="2025-03-28T00:00:00"/>
    <s v="IMP. DEB. LEY 25413 GRAL."/>
    <m/>
    <n v="52.8"/>
    <n v="0"/>
    <n v="-52.8"/>
    <n v="-7184307.0599999996"/>
    <n v="1140"/>
    <n v="4.6315789473684206E-2"/>
    <n v="0"/>
    <s v="ARS"/>
    <s v="CC"/>
    <s v="GALICIA"/>
    <x v="1"/>
    <x v="1"/>
    <x v="1"/>
    <s v="TASA GRAL"/>
    <m/>
    <m/>
    <x v="1"/>
    <m/>
    <s v="24/25"/>
    <s v="EGRESOS"/>
    <s v="EFECTIVO Y OTROS ACT LÍQ EQ."/>
  </r>
  <r>
    <x v="3"/>
    <d v="2025-04-01T00:00:00"/>
    <s v="TRANSFERENCIA DE CUENTA PROPIA"/>
    <m/>
    <n v="0"/>
    <n v="19600000"/>
    <n v="19600000"/>
    <n v="12415692.939999999"/>
    <n v="1140"/>
    <n v="0"/>
    <n v="17192.982456140351"/>
    <s v="ARS"/>
    <s v="CC"/>
    <s v="GALICIA"/>
    <x v="0"/>
    <x v="0"/>
    <x v="0"/>
    <s v="DESDE EL PAMPA"/>
    <m/>
    <m/>
    <x v="0"/>
    <m/>
    <m/>
    <m/>
    <m/>
  </r>
  <r>
    <x v="3"/>
    <d v="2025-04-01T00:00:00"/>
    <s v="PERCEP. IVA"/>
    <m/>
    <n v="1260"/>
    <n v="0"/>
    <n v="-1260"/>
    <n v="12414432.939999999"/>
    <n v="1140"/>
    <n v="1.1052631578947369"/>
    <n v="0"/>
    <s v="ARS"/>
    <s v="CC"/>
    <s v="GALICIA"/>
    <x v="1"/>
    <x v="1"/>
    <x v="1"/>
    <s v="PERCEPCION IVA"/>
    <m/>
    <m/>
    <x v="1"/>
    <m/>
    <s v="24/25"/>
    <s v="EGRESOS"/>
    <s v="EFECTIVO Y OTROS ACT LÍQ EQ."/>
  </r>
  <r>
    <x v="3"/>
    <d v="2025-04-01T00:00:00"/>
    <s v="IVA"/>
    <m/>
    <n v="8820"/>
    <n v="0"/>
    <n v="-8820"/>
    <n v="12405612.939999999"/>
    <n v="1140"/>
    <n v="7.7368421052631575"/>
    <n v="0"/>
    <s v="ARS"/>
    <s v="CC"/>
    <s v="GALICIA"/>
    <x v="1"/>
    <x v="1"/>
    <x v="1"/>
    <s v="DEBITO IVA FISCAL"/>
    <m/>
    <m/>
    <x v="1"/>
    <m/>
    <s v="24/25"/>
    <s v="EGRESOS"/>
    <s v="EFECTIVO Y OTROS ACT LÍQ EQ."/>
  </r>
  <r>
    <x v="3"/>
    <d v="2025-04-01T00:00:00"/>
    <s v="COMISION SERVICIO DE CUENTA"/>
    <m/>
    <n v="42000"/>
    <n v="0"/>
    <n v="-42000"/>
    <n v="12363612.939999999"/>
    <n v="1140"/>
    <n v="36.842105263157897"/>
    <n v="0"/>
    <s v="ARS"/>
    <s v="CC"/>
    <s v="GALICIA"/>
    <x v="1"/>
    <x v="7"/>
    <x v="9"/>
    <m/>
    <m/>
    <m/>
    <x v="1"/>
    <m/>
    <s v="24/25"/>
    <s v="EGRESOS"/>
    <s v="EFECTIVO Y OTROS ACT LÍQ EQ."/>
  </r>
  <r>
    <x v="3"/>
    <d v="2025-04-01T00:00:00"/>
    <s v="COMISION CHEQUE PAGADO POR CLEARING"/>
    <m/>
    <n v="6600"/>
    <n v="0"/>
    <n v="-6600"/>
    <n v="12357012.939999999"/>
    <n v="1140"/>
    <n v="5.7894736842105265"/>
    <n v="0"/>
    <s v="ARS"/>
    <s v="CC"/>
    <s v="GALICIA"/>
    <x v="1"/>
    <x v="7"/>
    <x v="9"/>
    <m/>
    <m/>
    <m/>
    <x v="1"/>
    <m/>
    <s v="24/25"/>
    <s v="EGRESOS"/>
    <s v="EFECTIVO Y OTROS ACT LÍQ EQ."/>
  </r>
  <r>
    <x v="3"/>
    <d v="2025-04-01T00:00:00"/>
    <s v="IVA"/>
    <m/>
    <n v="1386"/>
    <n v="0"/>
    <n v="-1386"/>
    <n v="12355626.939999999"/>
    <n v="1140"/>
    <n v="1.2157894736842105"/>
    <n v="0"/>
    <s v="ARS"/>
    <s v="CC"/>
    <s v="GALICIA"/>
    <x v="1"/>
    <x v="1"/>
    <x v="1"/>
    <s v="DEBITO IVA FISCAL"/>
    <m/>
    <m/>
    <x v="1"/>
    <m/>
    <s v="24/25"/>
    <s v="EGRESOS"/>
    <s v="EFECTIVO Y OTROS ACT LÍQ EQ."/>
  </r>
  <r>
    <x v="3"/>
    <d v="2025-04-01T00:00:00"/>
    <s v="PERCEP. IVA"/>
    <m/>
    <n v="198"/>
    <n v="0"/>
    <n v="-198"/>
    <n v="12355428.939999999"/>
    <n v="1140"/>
    <n v="0.1736842105263158"/>
    <n v="0"/>
    <s v="ARS"/>
    <s v="CC"/>
    <s v="GALICIA"/>
    <x v="1"/>
    <x v="1"/>
    <x v="1"/>
    <s v="PERCEPCION IVA"/>
    <m/>
    <m/>
    <x v="1"/>
    <m/>
    <s v="24/25"/>
    <s v="EGRESOS"/>
    <s v="EFECTIVO Y OTROS ACT LÍQ EQ."/>
  </r>
  <r>
    <x v="3"/>
    <d v="2025-04-01T00:00:00"/>
    <s v="IMP. DEB. LEY 25413 GRAL."/>
    <m/>
    <n v="361.58"/>
    <n v="0"/>
    <n v="-361.58"/>
    <n v="12355067.359999999"/>
    <n v="1140"/>
    <n v="0.31717543859649122"/>
    <n v="0"/>
    <s v="ARS"/>
    <s v="CC"/>
    <s v="GALICIA"/>
    <x v="1"/>
    <x v="1"/>
    <x v="1"/>
    <s v="TASA GRAL"/>
    <m/>
    <m/>
    <x v="1"/>
    <m/>
    <s v="24/25"/>
    <s v="EGRESOS"/>
    <s v="EFECTIVO Y OTROS ACT LÍQ EQ."/>
  </r>
  <r>
    <x v="3"/>
    <d v="2025-04-01T00:00:00"/>
    <s v="IMP. DEB. LEY 25413 GRAL."/>
    <m/>
    <n v="2032.49"/>
    <n v="0"/>
    <n v="-2032.49"/>
    <n v="12014286.6"/>
    <n v="1140"/>
    <n v="1.7828859649122808"/>
    <n v="0"/>
    <s v="ARS"/>
    <s v="CC"/>
    <s v="GALICIA"/>
    <x v="1"/>
    <x v="1"/>
    <x v="1"/>
    <s v="TASA GRAL"/>
    <m/>
    <m/>
    <x v="1"/>
    <m/>
    <s v="24/25"/>
    <s v="EGRESOS"/>
    <s v="EFECTIVO Y OTROS ACT LÍQ EQ."/>
  </r>
  <r>
    <x v="3"/>
    <d v="2025-04-01T00:00:00"/>
    <s v="PERCEP. IVA"/>
    <m/>
    <n v="4441.66"/>
    <n v="0"/>
    <n v="-4441.66"/>
    <n v="12016319.09"/>
    <n v="1140"/>
    <n v="3.8961929824561401"/>
    <n v="0"/>
    <s v="ARS"/>
    <s v="CC"/>
    <s v="GALICIA"/>
    <x v="1"/>
    <x v="1"/>
    <x v="1"/>
    <s v="IVA PERCEPCION"/>
    <m/>
    <m/>
    <x v="1"/>
    <m/>
    <s v="24/25"/>
    <s v="EGRESOS"/>
    <s v="EFECTIVO Y OTROS ACT LÍQ EQ."/>
  </r>
  <r>
    <x v="3"/>
    <d v="2025-04-01T00:00:00"/>
    <s v="IVA"/>
    <m/>
    <n v="31091.599999999999"/>
    <n v="0"/>
    <n v="-31091.599999999999"/>
    <n v="12020760.75"/>
    <n v="1140"/>
    <n v="27.273333333333333"/>
    <n v="0"/>
    <s v="ARS"/>
    <s v="CC"/>
    <s v="GALICIA"/>
    <x v="1"/>
    <x v="1"/>
    <x v="1"/>
    <s v="DEBITO IVA FISCAL"/>
    <m/>
    <m/>
    <x v="1"/>
    <m/>
    <s v="24/25"/>
    <s v="EGRESOS"/>
    <s v="EFECTIVO Y OTROS ACT LÍQ EQ."/>
  </r>
  <r>
    <x v="3"/>
    <d v="2025-04-01T00:00:00"/>
    <s v="IMPUESTO DE SELLOS"/>
    <m/>
    <n v="7104.58"/>
    <n v="0"/>
    <n v="-7104.58"/>
    <n v="12051852.35"/>
    <n v="1140"/>
    <n v="6.2320877192982458"/>
    <n v="0"/>
    <s v="ARS"/>
    <s v="CC"/>
    <s v="GALICIA"/>
    <x v="1"/>
    <x v="1"/>
    <x v="1"/>
    <s v="SELLOS"/>
    <m/>
    <m/>
    <x v="1"/>
    <m/>
    <s v="24/25"/>
    <s v="EGRESOS"/>
    <s v="EFECTIVO Y OTROS ACT LÍQ EQ."/>
  </r>
  <r>
    <x v="3"/>
    <d v="2025-04-01T00:00:00"/>
    <s v="INTERESES SOBRE SALDOS DEUDORES"/>
    <m/>
    <n v="296110.43"/>
    <n v="0"/>
    <n v="-296110.43"/>
    <n v="12058956.93"/>
    <n v="1140"/>
    <n v="259.74599122807018"/>
    <n v="0"/>
    <s v="ARS"/>
    <s v="CC"/>
    <s v="GALICIA"/>
    <x v="1"/>
    <x v="6"/>
    <x v="8"/>
    <m/>
    <m/>
    <m/>
    <x v="1"/>
    <m/>
    <s v="24/25"/>
    <s v="EGRESOS"/>
    <s v="EFECTIVO Y OTROS ACT LÍQ EQ."/>
  </r>
  <r>
    <x v="3"/>
    <d v="2025-04-03T00:00:00"/>
    <s v="TRANSFERENCIA DE TERCEROS"/>
    <m/>
    <n v="0"/>
    <n v="1500000"/>
    <n v="1500000"/>
    <n v="13514286.6"/>
    <n v="1140"/>
    <n v="0"/>
    <n v="1315.7894736842106"/>
    <s v="ARS"/>
    <s v="CC"/>
    <s v="GALICIA"/>
    <x v="1"/>
    <x v="11"/>
    <x v="14"/>
    <m/>
    <s v="SANTIAGO ERRECALDE"/>
    <m/>
    <x v="10"/>
    <m/>
    <s v="24/25"/>
    <s v="EFECTIVO Y OTROS ACT LÍQ EQ."/>
    <s v="ACREEDORES CORTO PLAZO"/>
  </r>
  <r>
    <x v="3"/>
    <d v="2025-04-03T00:00:00"/>
    <s v="TRANSFERENCIA DE TERCEROS"/>
    <m/>
    <n v="0"/>
    <n v="800000"/>
    <n v="800000"/>
    <n v="14314286.6"/>
    <n v="1140"/>
    <n v="0"/>
    <n v="701.75438596491233"/>
    <s v="ARS"/>
    <s v="CC"/>
    <s v="GALICIA"/>
    <x v="1"/>
    <x v="11"/>
    <x v="14"/>
    <m/>
    <s v="SANTIAGO ERRECALDE"/>
    <m/>
    <x v="10"/>
    <m/>
    <s v="24/25"/>
    <s v="EFECTIVO Y OTROS ACT LÍQ EQ."/>
    <s v="ACREEDORES CORTO PLAZO"/>
  </r>
  <r>
    <x v="3"/>
    <d v="2025-04-03T00:00:00"/>
    <s v="DEP.EFVO.AUTOSERVICIO TICKET: 2096"/>
    <m/>
    <n v="0"/>
    <n v="2087000"/>
    <n v="2087000"/>
    <n v="16401286.6"/>
    <n v="1140"/>
    <n v="0"/>
    <n v="1830.7017543859649"/>
    <s v="ARS"/>
    <s v="CC"/>
    <s v="GALICIA"/>
    <x v="1"/>
    <x v="11"/>
    <x v="14"/>
    <m/>
    <s v="SANTIAGO ERRECALDE"/>
    <m/>
    <x v="10"/>
    <m/>
    <s v="24/25"/>
    <s v="EFECTIVO Y OTROS ACT LÍQ EQ."/>
    <s v="ACREEDORES CORTO PLAZO"/>
  </r>
  <r>
    <x v="3"/>
    <d v="2025-04-03T00:00:00"/>
    <s v="TRANSFERENCIA DE TERCEROS"/>
    <m/>
    <n v="0"/>
    <n v="113000"/>
    <n v="113000"/>
    <n v="16514286.6"/>
    <n v="1140"/>
    <n v="0"/>
    <n v="99.122807017543863"/>
    <s v="ARS"/>
    <s v="CC"/>
    <s v="GALICIA"/>
    <x v="1"/>
    <x v="11"/>
    <x v="14"/>
    <m/>
    <s v="SANTIAGO ERRECALDE"/>
    <m/>
    <x v="10"/>
    <m/>
    <s v="24/25"/>
    <s v="EFECTIVO Y OTROS ACT LÍQ EQ."/>
    <s v="ACREEDORES CORTO PLAZO"/>
  </r>
  <r>
    <x v="3"/>
    <d v="2025-04-03T00:00:00"/>
    <s v="CUOTA DE PRESTAMO"/>
    <m/>
    <n v="17500000"/>
    <n v="0"/>
    <n v="-17500000"/>
    <n v="-6367927.0899999999"/>
    <n v="1140"/>
    <n v="15350.877192982456"/>
    <n v="0"/>
    <s v="ARS"/>
    <s v="CC"/>
    <s v="GALICIA"/>
    <x v="0"/>
    <x v="12"/>
    <x v="32"/>
    <s v="PRESTAMO GALICIA"/>
    <m/>
    <m/>
    <x v="17"/>
    <m/>
    <s v="24/25"/>
    <s v="AMORT. CREDITOS GAL"/>
    <s v="EFECTIVO Y OTROS ACT LÍQ EQ."/>
  </r>
  <r>
    <x v="3"/>
    <d v="2025-04-03T00:00:00"/>
    <s v="CUOTA DE PRESTAMO"/>
    <m/>
    <n v="5382213.6900000013"/>
    <n v="0"/>
    <n v="-5382213.6900000013"/>
    <n v="-6367927.0899999999"/>
    <n v="1140"/>
    <n v="4721.2400789473695"/>
    <n v="0"/>
    <s v="ARS"/>
    <s v="CC"/>
    <s v="GALICIA"/>
    <x v="0"/>
    <x v="12"/>
    <x v="32"/>
    <s v="PRESTAMO GALICIA"/>
    <m/>
    <m/>
    <x v="17"/>
    <m/>
    <s v="24/25"/>
    <s v="INTERESES  CRED (-)"/>
    <s v="EFECTIVO Y OTROS ACT LÍQ EQ."/>
  </r>
  <r>
    <x v="3"/>
    <d v="2025-04-03T00:00:00"/>
    <s v="DEBITO IIBB - NÚMERO DE CUOTA:1"/>
    <m/>
    <n v="282723.28999999998"/>
    <n v="0"/>
    <n v="-282723.28999999998"/>
    <n v="-6650650.3799999999"/>
    <n v="1140"/>
    <n v="248.00288596491225"/>
    <n v="0"/>
    <s v="ARS"/>
    <s v="CC"/>
    <s v="GALICIA"/>
    <x v="1"/>
    <x v="1"/>
    <x v="1"/>
    <s v="IIBB"/>
    <m/>
    <m/>
    <x v="1"/>
    <m/>
    <s v="24/25"/>
    <s v="EGRESOS"/>
    <s v="EFECTIVO Y OTROS ACT LÍQ EQ."/>
  </r>
  <r>
    <x v="3"/>
    <d v="2025-04-03T00:00:00"/>
    <s v="IMP. DEB. LEY 25413 GRAL."/>
    <m/>
    <n v="138989.62"/>
    <n v="0"/>
    <n v="-138989.62"/>
    <n v="-6789640"/>
    <n v="1140"/>
    <n v="121.92071929824561"/>
    <n v="0"/>
    <s v="ARS"/>
    <s v="CC"/>
    <s v="GALICIA"/>
    <x v="1"/>
    <x v="1"/>
    <x v="1"/>
    <s v="TASA GRAL"/>
    <m/>
    <m/>
    <x v="1"/>
    <m/>
    <s v="24/25"/>
    <s v="EGRESOS"/>
    <s v="EFECTIVO Y OTROS ACT LÍQ EQ."/>
  </r>
  <r>
    <x v="3"/>
    <d v="2025-04-03T00:00:00"/>
    <s v="IMP. CRE. LEY 25413"/>
    <m/>
    <n v="27000"/>
    <n v="0"/>
    <n v="-27000"/>
    <n v="-6816640"/>
    <n v="1140"/>
    <n v="23.684210526315791"/>
    <n v="0"/>
    <s v="ARS"/>
    <s v="CC"/>
    <s v="GALICIA"/>
    <x v="1"/>
    <x v="1"/>
    <x v="1"/>
    <s v="TASA GRAL"/>
    <m/>
    <m/>
    <x v="1"/>
    <m/>
    <s v="24/25"/>
    <s v="EGRESOS"/>
    <s v="EFECTIVO Y OTROS ACT LÍQ EQ."/>
  </r>
  <r>
    <x v="3"/>
    <d v="2025-04-08T00:00:00"/>
    <s v="TRANSF INMED CP"/>
    <m/>
    <n v="10000"/>
    <n v="0"/>
    <n v="-10000"/>
    <n v="-6826640"/>
    <n v="1140"/>
    <n v="8.7719298245614041"/>
    <n v="0"/>
    <s v="ARS"/>
    <s v="CC"/>
    <s v="GALICIA"/>
    <x v="0"/>
    <x v="0"/>
    <x v="0"/>
    <s v="HACIA CC NACION"/>
    <m/>
    <m/>
    <x v="0"/>
    <m/>
    <m/>
    <m/>
    <m/>
  </r>
  <r>
    <x v="3"/>
    <d v="2025-04-08T00:00:00"/>
    <s v="CREDITO PRESTAMO"/>
    <m/>
    <n v="0"/>
    <n v="10000000"/>
    <n v="10000000"/>
    <n v="3173360"/>
    <n v="1140"/>
    <n v="0"/>
    <n v="8771.9298245614027"/>
    <s v="ARS"/>
    <s v="CC"/>
    <s v="GALICIA"/>
    <x v="0"/>
    <x v="10"/>
    <x v="33"/>
    <s v="GALICIA A SOLA FIRMA 6MESES"/>
    <s v="GALICIA"/>
    <m/>
    <x v="9"/>
    <m/>
    <s v="24/25"/>
    <s v="EFECTIVO Y OTROS ACT LÍQ EQ."/>
    <s v="GALICIA A SOLA FIRMA 6M"/>
  </r>
  <r>
    <x v="3"/>
    <d v="2025-04-09T00:00:00"/>
    <s v="TRANSF INMED CP"/>
    <m/>
    <n v="300000"/>
    <n v="0"/>
    <n v="-300000"/>
    <n v="2873360"/>
    <n v="1140"/>
    <n v="263.15789473684208"/>
    <n v="0"/>
    <s v="ARS"/>
    <s v="CC"/>
    <s v="GALICIA"/>
    <x v="0"/>
    <x v="0"/>
    <x v="0"/>
    <s v="HACIA CC MACRO"/>
    <m/>
    <m/>
    <x v="0"/>
    <m/>
    <m/>
    <m/>
    <m/>
  </r>
  <r>
    <x v="3"/>
    <d v="2025-04-09T00:00:00"/>
    <s v="TRF INMED PROVEED"/>
    <m/>
    <n v="416620"/>
    <n v="0"/>
    <n v="-416620"/>
    <n v="2456740"/>
    <n v="1140"/>
    <n v="365.45614035087721"/>
    <n v="0"/>
    <s v="ARS"/>
    <s v="CC"/>
    <s v="GALICIA"/>
    <x v="2"/>
    <x v="4"/>
    <x v="4"/>
    <s v="HONORARIOS"/>
    <s v="CESAR DIAZ"/>
    <m/>
    <x v="6"/>
    <m/>
    <s v="24/25"/>
    <s v="BIENES Y SERVICIOS"/>
    <s v="EFECTIVO Y OTROS ACT LÍQ EQ."/>
  </r>
  <r>
    <x v="3"/>
    <d v="2025-04-09T00:00:00"/>
    <s v="TRF INMED PROVEED"/>
    <m/>
    <n v="444371.68"/>
    <n v="0"/>
    <n v="-444371.68"/>
    <n v="2012368.32"/>
    <n v="1140"/>
    <n v="389.79971929824563"/>
    <n v="0"/>
    <s v="ARS"/>
    <s v="CC"/>
    <s v="GALICIA"/>
    <x v="1"/>
    <x v="3"/>
    <x v="3"/>
    <s v="PERIODO MARZO 25"/>
    <s v="KEVIN TOLEDO"/>
    <m/>
    <x v="3"/>
    <m/>
    <s v="24/25"/>
    <s v="EGRESOS"/>
    <s v="EFECTIVO Y OTROS ACT LÍQ EQ."/>
  </r>
  <r>
    <x v="3"/>
    <d v="2025-04-09T00:00:00"/>
    <s v="TRANSF INMED CP"/>
    <m/>
    <n v="350000"/>
    <n v="0"/>
    <n v="-350000"/>
    <n v="1662368.32"/>
    <n v="1140"/>
    <n v="307.01754385964909"/>
    <n v="0"/>
    <s v="ARS"/>
    <s v="CC"/>
    <s v="GALICIA"/>
    <x v="0"/>
    <x v="0"/>
    <x v="0"/>
    <s v="HACIA CC PAMPA"/>
    <m/>
    <m/>
    <x v="0"/>
    <m/>
    <m/>
    <m/>
    <m/>
  </r>
  <r>
    <x v="3"/>
    <d v="2025-04-09T00:00:00"/>
    <s v="TRF INMED PROVEED"/>
    <m/>
    <n v="2000000"/>
    <n v="0"/>
    <n v="-2000000"/>
    <n v="-337631.68"/>
    <n v="1140"/>
    <n v="1754.3859649122808"/>
    <n v="0"/>
    <s v="ARS"/>
    <s v="CC"/>
    <s v="GALICIA"/>
    <x v="1"/>
    <x v="2"/>
    <x v="2"/>
    <m/>
    <s v="RAUL"/>
    <m/>
    <x v="2"/>
    <s v="RAUL"/>
    <s v="24/25"/>
    <s v="FUTURAS UT. ADL RAUL"/>
    <s v="EFECTIVO Y OTROS ACT LÍQ EQ."/>
  </r>
  <r>
    <x v="3"/>
    <d v="2025-04-09T00:00:00"/>
    <s v="TRF INMED PROVEED"/>
    <m/>
    <n v="1050000"/>
    <n v="0"/>
    <n v="-1050000"/>
    <n v="-1387631.68"/>
    <n v="1140"/>
    <n v="921.0526315789474"/>
    <n v="0"/>
    <s v="ARS"/>
    <s v="CC"/>
    <s v="GALICIA"/>
    <x v="1"/>
    <x v="3"/>
    <x v="3"/>
    <s v="SUELDO MARZO 25"/>
    <s v="ANDRES TOLEDO"/>
    <m/>
    <x v="3"/>
    <m/>
    <s v="24/25"/>
    <s v="EGRESOS"/>
    <s v="EFECTIVO Y OTROS ACT LÍQ EQ."/>
  </r>
  <r>
    <x v="3"/>
    <d v="2025-04-09T00:00:00"/>
    <s v="TRANSF INMED CP"/>
    <m/>
    <n v="4300000"/>
    <n v="0"/>
    <n v="-4300000"/>
    <n v="-5687631.6799999997"/>
    <n v="1140"/>
    <n v="3771.9298245614036"/>
    <n v="0"/>
    <s v="ARS"/>
    <s v="CC"/>
    <s v="GALICIA"/>
    <x v="0"/>
    <x v="0"/>
    <x v="0"/>
    <s v="HACIA CC MACRO"/>
    <m/>
    <m/>
    <x v="0"/>
    <m/>
    <m/>
    <m/>
    <m/>
  </r>
  <r>
    <x v="3"/>
    <d v="2025-04-09T00:00:00"/>
    <s v="TRF INMED PROVEED"/>
    <m/>
    <n v="50000"/>
    <n v="0"/>
    <n v="-50000"/>
    <n v="-5737631.6799999997"/>
    <n v="1140"/>
    <n v="43.859649122807021"/>
    <n v="0"/>
    <s v="ARS"/>
    <s v="CC"/>
    <s v="GALICIA"/>
    <x v="2"/>
    <x v="4"/>
    <x v="34"/>
    <s v="ANALISIS SUELO"/>
    <s v="ALANIZ MELANIA"/>
    <m/>
    <x v="6"/>
    <m/>
    <s v="24/25"/>
    <s v="BIENES Y SERVICIOS"/>
    <s v="EFECTIVO Y OTROS ACT LÍQ EQ."/>
  </r>
  <r>
    <x v="3"/>
    <d v="2025-04-09T00:00:00"/>
    <s v="IMP. DEB. LEY 25413 GRAL."/>
    <m/>
    <n v="23765.95"/>
    <n v="0"/>
    <n v="-23765.95"/>
    <n v="-5761397.6299999999"/>
    <n v="1140"/>
    <n v="20.847324561403511"/>
    <n v="0"/>
    <s v="ARS"/>
    <s v="CC"/>
    <s v="GALICIA"/>
    <x v="1"/>
    <x v="1"/>
    <x v="1"/>
    <s v="TASA GRAL"/>
    <m/>
    <m/>
    <x v="1"/>
    <m/>
    <s v="24/25"/>
    <s v="BIENES Y SERVICIOS"/>
    <s v="EFECTIVO Y OTROS ACT LÍQ EQ."/>
  </r>
  <r>
    <x v="3"/>
    <d v="2025-04-10T00:00:00"/>
    <s v="CREDITO PRESTAMO"/>
    <m/>
    <n v="0"/>
    <n v="7500000"/>
    <n v="7500000"/>
    <n v="7500000"/>
    <n v="1140"/>
    <n v="0"/>
    <n v="6578.9473684210525"/>
    <s v="ARS"/>
    <s v="CC"/>
    <s v="GALICIA"/>
    <x v="0"/>
    <x v="10"/>
    <x v="33"/>
    <s v="GALICIA A SOLA FIRMA 6MESES"/>
    <s v="GALICIA"/>
    <m/>
    <x v="9"/>
    <m/>
    <s v="24/25"/>
    <s v="EFECTIVO Y OTROS ACT LÍQ EQ."/>
    <s v="GALICIA A SOLA FIRMA 6M"/>
  </r>
  <r>
    <x v="3"/>
    <d v="2025-04-10T00:00:00"/>
    <s v="TRANSF INMED CP"/>
    <m/>
    <n v="3000000"/>
    <n v="0"/>
    <n v="-3000000"/>
    <n v="-3000000"/>
    <n v="1140"/>
    <n v="2631.5789473684213"/>
    <n v="0"/>
    <s v="ARS"/>
    <s v="CC"/>
    <s v="GALICIA"/>
    <x v="0"/>
    <x v="0"/>
    <x v="0"/>
    <s v="HACIA NACION"/>
    <s v="PARA CUBRIR EL NACION"/>
    <m/>
    <x v="0"/>
    <m/>
    <m/>
    <m/>
    <m/>
  </r>
  <r>
    <x v="3"/>
    <d v="2025-04-10T00:00:00"/>
    <s v="IMP. DEB. LEY 25413 GRAL."/>
    <m/>
    <n v="300"/>
    <n v="0"/>
    <n v="-300"/>
    <n v="-300"/>
    <n v="1140"/>
    <n v="0.26315789473684209"/>
    <n v="0"/>
    <s v="ARS"/>
    <s v="CC"/>
    <s v="GALICIA"/>
    <x v="1"/>
    <x v="1"/>
    <x v="1"/>
    <s v="TASA GRAL"/>
    <m/>
    <m/>
    <x v="1"/>
    <m/>
    <s v="24/25"/>
    <s v="EGRESOS"/>
    <s v="EFECTIVO Y OTROS ACT LÍQ EQ."/>
  </r>
  <r>
    <x v="3"/>
    <d v="2025-04-14T00:00:00"/>
    <s v="TRF INMED PROVEED"/>
    <m/>
    <n v="550000"/>
    <n v="0"/>
    <n v="-550000"/>
    <n v="-2346520.63"/>
    <n v="1140"/>
    <n v="482.45614035087721"/>
    <n v="0"/>
    <s v="ARS"/>
    <s v="CC"/>
    <s v="GALICIA"/>
    <x v="1"/>
    <x v="11"/>
    <x v="26"/>
    <m/>
    <s v="BECERRA ADRIAN"/>
    <m/>
    <x v="10"/>
    <m/>
    <s v="24/25"/>
    <s v="DEUDAS FINANCIERAS CP"/>
    <s v="EFECTIVO Y OTROS ACT LÍQ EQ."/>
  </r>
  <r>
    <x v="3"/>
    <d v="2025-04-14T00:00:00"/>
    <s v="TRF INMED PROVEED"/>
    <m/>
    <n v="52644.52"/>
    <n v="0"/>
    <n v="-52644.52"/>
    <n v="-2346520.63"/>
    <n v="1140"/>
    <n v="46.179403508771927"/>
    <n v="0"/>
    <s v="ARS"/>
    <s v="CC"/>
    <s v="GALICIA"/>
    <x v="1"/>
    <x v="3"/>
    <x v="3"/>
    <s v="TELEFONO"/>
    <s v="ANDRES TOLEDO"/>
    <m/>
    <x v="3"/>
    <m/>
    <s v="24/25"/>
    <s v="EGRESOS"/>
    <s v="EFECTIVO Y OTROS ACT LÍQ EQ."/>
  </r>
  <r>
    <x v="3"/>
    <d v="2025-04-14T00:00:00"/>
    <s v="TRF INMED PROVEED"/>
    <m/>
    <n v="150000"/>
    <n v="0"/>
    <n v="-150000"/>
    <n v="-2346520.63"/>
    <n v="1140"/>
    <n v="131.57894736842104"/>
    <n v="0"/>
    <s v="ARS"/>
    <s v="CC"/>
    <s v="GALICIA"/>
    <x v="1"/>
    <x v="3"/>
    <x v="13"/>
    <m/>
    <s v="MARTIN TOLEDO"/>
    <m/>
    <x v="3"/>
    <m/>
    <s v="24/25"/>
    <s v="EGRESOS"/>
    <s v="EFECTIVO Y OTROS ACT LÍQ EQ."/>
  </r>
  <r>
    <x v="3"/>
    <d v="2025-04-14T00:00:00"/>
    <s v="TRF INMED PROVEED"/>
    <m/>
    <n v="33079"/>
    <n v="0"/>
    <n v="-33079"/>
    <n v="-2346520.63"/>
    <n v="1140"/>
    <n v="29.016666666666666"/>
    <n v="0"/>
    <s v="ARS"/>
    <s v="CC"/>
    <s v="GALICIA"/>
    <x v="1"/>
    <x v="2"/>
    <x v="2"/>
    <s v="CEL RAULI"/>
    <s v="RAUL"/>
    <m/>
    <x v="2"/>
    <s v="RAUL"/>
    <s v="24/25"/>
    <s v="FUTURAS UT. ADL RAUL"/>
    <s v="EFECTIVO Y OTROS ACT LÍQ EQ."/>
  </r>
  <r>
    <x v="3"/>
    <d v="2025-04-14T00:00:00"/>
    <s v="TRF INMED PROVEED"/>
    <m/>
    <n v="150000"/>
    <n v="0"/>
    <n v="-150000"/>
    <n v="-2346520.63"/>
    <n v="1140"/>
    <n v="131.57894736842104"/>
    <n v="0"/>
    <s v="ARS"/>
    <s v="CC"/>
    <s v="GALICIA"/>
    <x v="1"/>
    <x v="3"/>
    <x v="13"/>
    <m/>
    <s v="MARTIN TOLEDO"/>
    <m/>
    <x v="3"/>
    <m/>
    <s v="24/25"/>
    <s v="EGRESOS"/>
    <s v="EFECTIVO Y OTROS ACT LÍQ EQ."/>
  </r>
  <r>
    <x v="3"/>
    <d v="2025-04-14T00:00:00"/>
    <s v="TRF INMED PROVEED"/>
    <m/>
    <n v="99100"/>
    <n v="0"/>
    <n v="-99100"/>
    <n v="-2346520.63"/>
    <n v="1140"/>
    <n v="86.929824561403507"/>
    <n v="0"/>
    <s v="ARS"/>
    <s v="CC"/>
    <s v="GALICIA"/>
    <x v="1"/>
    <x v="2"/>
    <x v="2"/>
    <s v="PAGO A BERGIA"/>
    <s v="RAUL"/>
    <m/>
    <x v="2"/>
    <s v="RAUL"/>
    <s v="24/25"/>
    <s v="FUTURAS UT. ADL RAUL"/>
    <s v="EFECTIVO Y OTROS ACT LÍQ EQ."/>
  </r>
  <r>
    <x v="3"/>
    <d v="2025-04-14T00:00:00"/>
    <s v="COM. GESTION TRANSF.FDOS ENTRE BCOS"/>
    <m/>
    <n v="700"/>
    <n v="0"/>
    <n v="-700"/>
    <n v="-2347220.63"/>
    <n v="1140"/>
    <n v="0.61403508771929827"/>
    <n v="0"/>
    <s v="ARS"/>
    <s v="CC"/>
    <s v="GALICIA"/>
    <x v="1"/>
    <x v="7"/>
    <x v="9"/>
    <m/>
    <m/>
    <m/>
    <x v="1"/>
    <m/>
    <s v="24/25"/>
    <s v="EGRESOS"/>
    <s v="EFECTIVO Y OTROS ACT LÍQ EQ."/>
  </r>
  <r>
    <x v="3"/>
    <d v="2025-04-14T00:00:00"/>
    <s v="IVA"/>
    <m/>
    <n v="147"/>
    <n v="0"/>
    <n v="-147"/>
    <n v="-2347367.63"/>
    <n v="1140"/>
    <n v="0.12894736842105264"/>
    <n v="0"/>
    <s v="ARS"/>
    <s v="CC"/>
    <s v="GALICIA"/>
    <x v="1"/>
    <x v="1"/>
    <x v="1"/>
    <s v="DEBITO IVA FISCAL"/>
    <m/>
    <m/>
    <x v="1"/>
    <m/>
    <s v="24/25"/>
    <s v="EGRESOS"/>
    <s v="EFECTIVO Y OTROS ACT LÍQ EQ."/>
  </r>
  <r>
    <x v="3"/>
    <d v="2025-04-14T00:00:00"/>
    <s v="TRANSF INMED CP"/>
    <m/>
    <n v="1200000"/>
    <n v="0"/>
    <n v="-1200000"/>
    <n v="-3547367.63"/>
    <n v="1140"/>
    <n v="1052.6315789473683"/>
    <n v="0"/>
    <s v="ARS"/>
    <s v="CC"/>
    <s v="GALICIA"/>
    <x v="0"/>
    <x v="0"/>
    <x v="0"/>
    <s v="HACIA CC MACRO"/>
    <m/>
    <m/>
    <x v="0"/>
    <m/>
    <s v="24/25"/>
    <m/>
    <m/>
  </r>
  <r>
    <x v="3"/>
    <d v="2025-04-14T00:00:00"/>
    <s v="TRF INMED PROVEED"/>
    <m/>
    <n v="500000"/>
    <n v="0"/>
    <n v="-500000"/>
    <n v="-4047367.63"/>
    <n v="1140"/>
    <n v="438.59649122807019"/>
    <n v="0"/>
    <s v="ARS"/>
    <s v="CC"/>
    <s v="GALICIA"/>
    <x v="1"/>
    <x v="2"/>
    <x v="2"/>
    <s v="PIDIO PARA MUTUAL"/>
    <s v="CLAUDIA ERRECALDE"/>
    <m/>
    <x v="15"/>
    <s v="CLAUDIA"/>
    <s v="24/25"/>
    <s v="FUTURAS UT. ADL CLAUDIA"/>
    <s v="EFECTIVO Y OTROS ACT LÍQ EQ."/>
  </r>
  <r>
    <x v="3"/>
    <d v="2025-04-10T00:00:00"/>
    <s v="TRF INMED PROVEED"/>
    <m/>
    <n v="50000"/>
    <n v="0"/>
    <n v="-50000"/>
    <n v="-50000"/>
    <n v="1140"/>
    <n v="43.859649122807021"/>
    <n v="0"/>
    <s v="ARS"/>
    <s v="CC"/>
    <s v="GALICIA"/>
    <x v="1"/>
    <x v="2"/>
    <x v="2"/>
    <s v="PARTE MARZO"/>
    <s v="CLAUDIA ERRECALDE"/>
    <m/>
    <x v="15"/>
    <s v="CLAUDIA"/>
    <s v="24/25"/>
    <s v="FUTURAS UT. ADL CLAUDIA"/>
    <s v="EFECTIVO Y OTROS ACT LÍQ EQ."/>
  </r>
  <r>
    <x v="3"/>
    <d v="2025-04-14T00:00:00"/>
    <s v="COM. GESTION TRANSF.FDOS ENTRE BCOS"/>
    <m/>
    <n v="700"/>
    <n v="0"/>
    <n v="-700"/>
    <n v="-4048067.63"/>
    <n v="1140"/>
    <n v="0.61403508771929827"/>
    <n v="0"/>
    <s v="ARS"/>
    <s v="CC"/>
    <s v="GALICIA"/>
    <x v="1"/>
    <x v="7"/>
    <x v="9"/>
    <m/>
    <m/>
    <m/>
    <x v="1"/>
    <m/>
    <s v="24/25"/>
    <s v="EGRESOS"/>
    <s v="EFECTIVO Y OTROS ACT LÍQ EQ."/>
  </r>
  <r>
    <x v="3"/>
    <d v="2025-04-14T00:00:00"/>
    <s v="IVA"/>
    <m/>
    <n v="147"/>
    <n v="0"/>
    <n v="-147"/>
    <n v="-4048214.63"/>
    <n v="1140"/>
    <n v="0.12894736842105264"/>
    <n v="0"/>
    <s v="ARS"/>
    <s v="CC"/>
    <s v="GALICIA"/>
    <x v="1"/>
    <x v="1"/>
    <x v="1"/>
    <s v="DEBITO IVA FISCAL"/>
    <m/>
    <m/>
    <x v="1"/>
    <m/>
    <s v="24/25"/>
    <s v="EGRESOS"/>
    <s v="EFECTIVO Y OTROS ACT LÍQ EQ."/>
  </r>
  <r>
    <x v="3"/>
    <d v="2025-04-14T00:00:00"/>
    <s v="IMP. DEB. LEY 25413 GRAL."/>
    <m/>
    <n v="9219.1"/>
    <n v="0"/>
    <n v="-9219.1"/>
    <n v="-4057433.73"/>
    <n v="1140"/>
    <n v="8.0869298245614036"/>
    <n v="0"/>
    <s v="ARS"/>
    <s v="CC"/>
    <s v="GALICIA"/>
    <x v="1"/>
    <x v="1"/>
    <x v="1"/>
    <s v="TASA GRAL"/>
    <m/>
    <m/>
    <x v="1"/>
    <m/>
    <s v="24/25"/>
    <s v="EGRESOS"/>
    <s v="EFECTIVO Y OTROS ACT LÍQ EQ."/>
  </r>
  <r>
    <x v="3"/>
    <d v="2025-04-15T00:00:00"/>
    <s v="TRF INMED PROVEED"/>
    <m/>
    <n v="1000000"/>
    <n v="0"/>
    <n v="-1000000"/>
    <n v="-5057433.7300000004"/>
    <n v="1140"/>
    <n v="877.19298245614038"/>
    <n v="0"/>
    <s v="ARS"/>
    <s v="CC"/>
    <s v="GALICIA"/>
    <x v="1"/>
    <x v="2"/>
    <x v="2"/>
    <m/>
    <s v="RAUL"/>
    <m/>
    <x v="2"/>
    <s v="RAUL"/>
    <s v="24/25"/>
    <s v="FUTURAS UT. ADL RAUL"/>
    <s v="EFECTIVO Y OTROS ACT LÍQ EQ."/>
  </r>
  <r>
    <x v="3"/>
    <d v="2025-04-15T00:00:00"/>
    <s v="COM. GESTION TRANSF.FDOS ENTRE BCOS"/>
    <m/>
    <n v="700"/>
    <n v="0"/>
    <n v="-700"/>
    <n v="-5058133.7300000004"/>
    <n v="1140"/>
    <n v="0.61403508771929827"/>
    <n v="0"/>
    <s v="ARS"/>
    <s v="CC"/>
    <s v="GALICIA"/>
    <x v="1"/>
    <x v="7"/>
    <x v="9"/>
    <m/>
    <m/>
    <m/>
    <x v="1"/>
    <m/>
    <s v="24/25"/>
    <s v="EGRESOS"/>
    <s v="EFECTIVO Y OTROS ACT LÍQ EQ."/>
  </r>
  <r>
    <x v="3"/>
    <d v="2025-04-15T00:00:00"/>
    <s v="IVA"/>
    <m/>
    <n v="147"/>
    <n v="0"/>
    <n v="-147"/>
    <n v="-5058280.7300000004"/>
    <n v="1140"/>
    <n v="0.12894736842105264"/>
    <n v="0"/>
    <s v="ARS"/>
    <s v="CC"/>
    <s v="GALICIA"/>
    <x v="1"/>
    <x v="1"/>
    <x v="1"/>
    <s v="DEBITO IVA FISCAL"/>
    <m/>
    <m/>
    <x v="1"/>
    <m/>
    <s v="24/25"/>
    <s v="EGRESOS"/>
    <s v="EFECTIVO Y OTROS ACT LÍQ EQ."/>
  </r>
  <r>
    <x v="3"/>
    <d v="2025-04-15T00:00:00"/>
    <s v="IMP. DEB. LEY 25413 GRAL."/>
    <m/>
    <n v="6005.08"/>
    <n v="0"/>
    <n v="-6005.08"/>
    <n v="-5064285.8099999996"/>
    <n v="1140"/>
    <n v="5.2676140350877194"/>
    <n v="0"/>
    <s v="ARS"/>
    <s v="CC"/>
    <s v="GALICIA"/>
    <x v="1"/>
    <x v="1"/>
    <x v="1"/>
    <s v="TASA GRAL"/>
    <m/>
    <m/>
    <x v="1"/>
    <m/>
    <s v="24/25"/>
    <s v="EGRESOS"/>
    <s v="EFECTIVO Y OTROS ACT LÍQ EQ."/>
  </r>
  <r>
    <x v="3"/>
    <d v="2025-04-16T00:00:00"/>
    <s v="TRANSF INMED CP"/>
    <m/>
    <n v="2100000"/>
    <n v="0"/>
    <n v="-2100000"/>
    <n v="-7164285.8099999996"/>
    <n v="1140"/>
    <n v="1842.1052631578948"/>
    <n v="0"/>
    <s v="ARS"/>
    <s v="CC"/>
    <s v="GALICIA"/>
    <x v="0"/>
    <x v="0"/>
    <x v="0"/>
    <s v="HACIA CC MACRO"/>
    <m/>
    <m/>
    <x v="0"/>
    <m/>
    <s v="24/25"/>
    <m/>
    <m/>
  </r>
  <r>
    <x v="3"/>
    <d v="2025-04-21T00:00:00"/>
    <s v="TRF INMED PROVEED"/>
    <m/>
    <n v="35000"/>
    <n v="0"/>
    <n v="-35000"/>
    <n v="-7164285.8099999996"/>
    <n v="1140"/>
    <n v="30.701754385964911"/>
    <n v="0"/>
    <s v="ARS"/>
    <s v="CC"/>
    <s v="GALICIA"/>
    <x v="1"/>
    <x v="3"/>
    <x v="13"/>
    <m/>
    <s v="MARTIN TOLEDO"/>
    <m/>
    <x v="3"/>
    <m/>
    <s v="24/25"/>
    <s v="EGRESOS"/>
    <s v="EFECTIVO Y OTROS ACT LÍQ EQ."/>
  </r>
  <r>
    <x v="3"/>
    <d v="2025-04-21T00:00:00"/>
    <s v="IMP. DEB. LEY 25413 GRAL."/>
    <m/>
    <n v="210"/>
    <n v="0"/>
    <n v="-210"/>
    <n v="-7164285.8099999996"/>
    <n v="1140"/>
    <n v="0.18421052631578946"/>
    <n v="0"/>
    <s v="ARS"/>
    <s v="CC"/>
    <s v="GALICIA"/>
    <x v="1"/>
    <x v="1"/>
    <x v="1"/>
    <s v="TASA GRAL"/>
    <m/>
    <m/>
    <x v="1"/>
    <m/>
    <s v="24/25"/>
    <s v="EGRESOS"/>
    <s v="EFECTIVO Y OTROS ACT LÍQ EQ."/>
  </r>
  <r>
    <x v="3"/>
    <d v="2025-04-25T00:00:00"/>
    <s v="DEPOSITO EN EFECTIVO"/>
    <m/>
    <n v="0"/>
    <n v="2340000"/>
    <n v="2340000"/>
    <n v="-4859495.8099999996"/>
    <n v="1140"/>
    <n v="0"/>
    <n v="2052.6315789473683"/>
    <s v="ARS"/>
    <s v="CC"/>
    <s v="GALICIA"/>
    <x v="1"/>
    <x v="11"/>
    <x v="14"/>
    <s v="DEPOSITO EF PARA EL PAMPA"/>
    <s v="SANTIAGO ERRECALDE"/>
    <m/>
    <x v="10"/>
    <m/>
    <s v="24/25"/>
    <s v="EFECTIVO Y OTROS ACT LÍQ EQ."/>
    <s v="ACREEDORES CORTO PLAZO"/>
  </r>
  <r>
    <x v="3"/>
    <d v="2025-04-25T00:00:00"/>
    <s v="TRANSF INMED CP"/>
    <m/>
    <n v="2340000"/>
    <n v="0"/>
    <n v="-2340000"/>
    <n v="-7199495.8099999996"/>
    <n v="1140"/>
    <n v="2052.6315789473683"/>
    <n v="0"/>
    <s v="ARS"/>
    <s v="CC"/>
    <s v="GALICIA"/>
    <x v="0"/>
    <x v="0"/>
    <x v="0"/>
    <s v="HACIA EL PAMPA"/>
    <m/>
    <m/>
    <x v="0"/>
    <m/>
    <s v="24/25"/>
    <m/>
    <m/>
  </r>
  <r>
    <x v="3"/>
    <d v="2025-04-25T00:00:00"/>
    <s v="IMP. CRE. LEY 25413"/>
    <m/>
    <n v="14040"/>
    <n v="0"/>
    <n v="-14040"/>
    <n v="-7213535.8099999996"/>
    <n v="1140"/>
    <n v="12.315789473684211"/>
    <n v="0"/>
    <s v="ARS"/>
    <s v="CC"/>
    <s v="GALICIA"/>
    <x v="1"/>
    <x v="1"/>
    <x v="1"/>
    <s v="TASA GRAL"/>
    <m/>
    <m/>
    <x v="1"/>
    <m/>
    <s v="24/25"/>
    <s v="EGRESOS"/>
    <s v="EFECTIVO Y OTROS ACT LÍQ EQ."/>
  </r>
  <r>
    <x v="3"/>
    <d v="2025-04-29T00:00:00"/>
    <s v="TRANSFERENCIA DE TERCEROS"/>
    <m/>
    <n v="0"/>
    <n v="20000"/>
    <n v="20000"/>
    <n v="-7193535.8099999996"/>
    <n v="1140"/>
    <n v="0"/>
    <n v="17.543859649122808"/>
    <s v="ARS"/>
    <s v="CC"/>
    <s v="GALICIA"/>
    <x v="1"/>
    <x v="2"/>
    <x v="14"/>
    <m/>
    <s v="RAUL"/>
    <m/>
    <x v="8"/>
    <s v="RAUL"/>
    <s v="24/25"/>
    <s v="EFECTIVO Y OTROS ACT LÍQ EQ."/>
    <s v="APORTES DE CAPITAL"/>
  </r>
  <r>
    <x v="3"/>
    <d v="2025-04-29T00:00:00"/>
    <s v="IMP. CRE. LEY 25413"/>
    <m/>
    <n v="120"/>
    <n v="0"/>
    <n v="-120"/>
    <n v="-7193655.8099999996"/>
    <n v="1140"/>
    <n v="0.10526315789473684"/>
    <n v="0"/>
    <s v="ARS"/>
    <s v="CC"/>
    <s v="GALICIA"/>
    <x v="1"/>
    <x v="1"/>
    <x v="1"/>
    <s v="TASA GRAL"/>
    <m/>
    <m/>
    <x v="1"/>
    <m/>
    <s v="24/25"/>
    <s v="EGRESOS"/>
    <s v="EFECTIVO Y OTROS ACT LÍQ EQ."/>
  </r>
  <r>
    <x v="4"/>
    <d v="2025-05-05T00:00:00"/>
    <s v="COMISION SERVICIO DE CUENTA"/>
    <m/>
    <n v="48000"/>
    <n v="0"/>
    <n v="-48000"/>
    <n v="-7241655.8099999996"/>
    <n v="1140"/>
    <n v="42.10526315789474"/>
    <n v="0"/>
    <s v="ARS"/>
    <s v="CC"/>
    <s v="GALICIA"/>
    <x v="1"/>
    <x v="7"/>
    <x v="9"/>
    <m/>
    <m/>
    <m/>
    <x v="1"/>
    <m/>
    <s v="24/25"/>
    <s v="EGRESOS"/>
    <s v="EFECTIVO Y OTROS ACT LÍQ EQ."/>
  </r>
  <r>
    <x v="4"/>
    <d v="2025-05-05T00:00:00"/>
    <s v="IVA"/>
    <m/>
    <n v="10080"/>
    <n v="0"/>
    <n v="-10080"/>
    <n v="-7251735.8099999996"/>
    <n v="1140"/>
    <n v="8.8421052631578956"/>
    <n v="0"/>
    <s v="ARS"/>
    <s v="CC"/>
    <s v="GALICIA"/>
    <x v="1"/>
    <x v="1"/>
    <x v="1"/>
    <s v="DEBITO IVA FISCAL"/>
    <m/>
    <m/>
    <x v="1"/>
    <m/>
    <s v="24/25"/>
    <s v="EGRESOS"/>
    <s v="EFECTIVO Y OTROS ACT LÍQ EQ."/>
  </r>
  <r>
    <x v="4"/>
    <d v="2025-05-05T00:00:00"/>
    <s v="PERCEP. IVA"/>
    <m/>
    <n v="1440"/>
    <n v="0"/>
    <n v="-1440"/>
    <n v="-7253175.8099999996"/>
    <n v="1140"/>
    <n v="1.263157894736842"/>
    <n v="0"/>
    <s v="ARS"/>
    <s v="CC"/>
    <s v="GALICIA"/>
    <x v="1"/>
    <x v="1"/>
    <x v="1"/>
    <s v="IVA PERCEPCION"/>
    <m/>
    <m/>
    <x v="1"/>
    <m/>
    <s v="24/25"/>
    <s v="EGRESOS"/>
    <s v="EFECTIVO Y OTROS ACT LÍQ EQ."/>
  </r>
  <r>
    <x v="4"/>
    <d v="2025-05-05T00:00:00"/>
    <s v="IMP. DEB. LEY 25413 GRAL."/>
    <m/>
    <n v="357.12"/>
    <n v="0"/>
    <n v="-357.12"/>
    <n v="-7253532.9299999997"/>
    <n v="1140"/>
    <n v="0.31326315789473685"/>
    <n v="0"/>
    <s v="ARS"/>
    <s v="CC"/>
    <s v="GALICIA"/>
    <x v="1"/>
    <x v="1"/>
    <x v="1"/>
    <s v="TASA GRAL"/>
    <m/>
    <m/>
    <x v="1"/>
    <m/>
    <s v="24/25"/>
    <s v="EGRESOS"/>
    <s v="EFECTIVO Y OTROS ACT LÍQ EQ."/>
  </r>
  <r>
    <x v="4"/>
    <d v="2025-05-05T00:00:00"/>
    <s v="INTERESES SOBRE SALDOS DEUDORES"/>
    <m/>
    <n v="250402.13"/>
    <n v="0"/>
    <n v="-250402.13"/>
    <n v="-7503935.0599999996"/>
    <n v="1140"/>
    <n v="219.65099122807018"/>
    <n v="0"/>
    <s v="ARS"/>
    <s v="CC"/>
    <s v="GALICIA"/>
    <x v="1"/>
    <x v="6"/>
    <x v="8"/>
    <m/>
    <m/>
    <m/>
    <x v="1"/>
    <m/>
    <s v="24/25"/>
    <s v="EGRESOS"/>
    <s v="EFECTIVO Y OTROS ACT LÍQ EQ."/>
  </r>
  <r>
    <x v="4"/>
    <d v="2025-05-05T00:00:00"/>
    <s v="IMPUESTO DE SELLOS"/>
    <m/>
    <n v="5328.46"/>
    <n v="0"/>
    <n v="-5328.46"/>
    <n v="-7509263.5199999996"/>
    <n v="1140"/>
    <n v="4.674087719298246"/>
    <n v="0"/>
    <s v="ARS"/>
    <s v="CC"/>
    <s v="GALICIA"/>
    <x v="1"/>
    <x v="1"/>
    <x v="1"/>
    <s v="SELLOS"/>
    <m/>
    <m/>
    <x v="1"/>
    <m/>
    <s v="24/25"/>
    <s v="EGRESOS"/>
    <s v="EFECTIVO Y OTROS ACT LÍQ EQ."/>
  </r>
  <r>
    <x v="4"/>
    <d v="2025-05-05T00:00:00"/>
    <s v="IVA"/>
    <m/>
    <n v="26292.22"/>
    <n v="0"/>
    <n v="-26292.22"/>
    <n v="-7535555.7400000002"/>
    <n v="1140"/>
    <n v="23.063350877192985"/>
    <n v="0"/>
    <s v="ARS"/>
    <s v="CC"/>
    <s v="GALICIA"/>
    <x v="1"/>
    <x v="1"/>
    <x v="1"/>
    <s v="DEBITO IVA FISCAL"/>
    <m/>
    <m/>
    <x v="1"/>
    <m/>
    <s v="24/25"/>
    <s v="EGRESOS"/>
    <s v="EFECTIVO Y OTROS ACT LÍQ EQ."/>
  </r>
  <r>
    <x v="4"/>
    <d v="2025-05-05T00:00:00"/>
    <s v="PERCEP. IVA"/>
    <m/>
    <n v="3756.03"/>
    <n v="0"/>
    <n v="-3756.03"/>
    <n v="-7539311.7699999996"/>
    <n v="1140"/>
    <n v="3.2947631578947369"/>
    <n v="0"/>
    <s v="ARS"/>
    <s v="CC"/>
    <s v="GALICIA"/>
    <x v="1"/>
    <x v="1"/>
    <x v="1"/>
    <s v="IVA PERCEPCION"/>
    <m/>
    <m/>
    <x v="1"/>
    <m/>
    <s v="24/25"/>
    <s v="EGRESOS"/>
    <s v="EFECTIVO Y OTROS ACT LÍQ EQ."/>
  </r>
  <r>
    <x v="4"/>
    <d v="2025-05-05T00:00:00"/>
    <s v="IMP. DEB. LEY 25413 GRAL."/>
    <m/>
    <n v="1714.67"/>
    <n v="0"/>
    <n v="-1714.67"/>
    <n v="-7541026.4400000004"/>
    <n v="1140"/>
    <n v="1.5040964912280703"/>
    <n v="0"/>
    <s v="ARS"/>
    <s v="CC"/>
    <s v="GALICIA"/>
    <x v="1"/>
    <x v="1"/>
    <x v="1"/>
    <s v="TASA GRAL"/>
    <m/>
    <m/>
    <x v="1"/>
    <m/>
    <s v="24/25"/>
    <s v="EGRESOS"/>
    <s v="EFECTIVO Y OTROS ACT LÍQ EQ."/>
  </r>
  <r>
    <x v="4"/>
    <d v="2025-05-07T00:00:00"/>
    <s v="TRANSFER. CASH MISMA TITULARIDAD"/>
    <m/>
    <n v="0"/>
    <n v="350000"/>
    <n v="350000"/>
    <n v="-7191026.4400000004"/>
    <n v="1140"/>
    <n v="0"/>
    <n v="307.01754385964909"/>
    <s v="ARS"/>
    <s v="CC"/>
    <s v="GALICIA"/>
    <x v="0"/>
    <x v="0"/>
    <x v="0"/>
    <m/>
    <m/>
    <m/>
    <x v="0"/>
    <m/>
    <s v="24/25"/>
    <m/>
    <m/>
  </r>
  <r>
    <x v="4"/>
    <d v="2025-05-15T00:00:00"/>
    <s v="CHEQUE 48 HS. "/>
    <s v="N68698140"/>
    <n v="278300"/>
    <n v="0"/>
    <n v="-278300"/>
    <n v="-7469326.4400000004"/>
    <n v="1140"/>
    <n v="244.12280701754386"/>
    <n v="0"/>
    <s v="ARS"/>
    <s v="CC"/>
    <s v="GALICIA"/>
    <x v="3"/>
    <x v="14"/>
    <x v="35"/>
    <m/>
    <s v="AGROTRAC"/>
    <s v="FA 1891"/>
    <x v="6"/>
    <m/>
    <s v="24/25"/>
    <s v="BIENES DE USO"/>
    <s v="EFECTIVO Y OTROS ACT LÍQ EQ."/>
  </r>
  <r>
    <x v="4"/>
    <d v="2025-05-15T00:00:00"/>
    <s v="IMP. DEB. LEY 25413 GRAL."/>
    <m/>
    <n v="1669.8"/>
    <n v="0"/>
    <n v="-1669.8"/>
    <n v="-7470996.2400000002"/>
    <n v="1140"/>
    <n v="1.4647368421052631"/>
    <n v="0"/>
    <s v="ARS"/>
    <s v="CC"/>
    <s v="GALICIA"/>
    <x v="1"/>
    <x v="1"/>
    <x v="1"/>
    <s v="TASA GRAL"/>
    <m/>
    <m/>
    <x v="1"/>
    <m/>
    <s v="24/25"/>
    <s v="EGRESOS"/>
    <s v="EFECTIVO Y OTROS ACT LÍQ EQ."/>
  </r>
  <r>
    <x v="4"/>
    <d v="2025-05-16T00:00:00"/>
    <s v="CHEQUE 48 HS."/>
    <s v="N68698142"/>
    <n v="1253833.94"/>
    <n v="0"/>
    <n v="-1253833.94"/>
    <n v="-8724830.1799999997"/>
    <n v="1140"/>
    <n v="1099.8543333333332"/>
    <n v="0"/>
    <s v="ARS"/>
    <s v="CC"/>
    <s v="GALICIA"/>
    <x v="2"/>
    <x v="15"/>
    <x v="25"/>
    <s v="SEMILLAS"/>
    <s v="PALO VERDE"/>
    <s v="FA 1932"/>
    <x v="6"/>
    <m/>
    <s v="24/25"/>
    <s v="INSUMOS 2025"/>
    <s v="EFECTIVO Y OTROS ACT LÍQ EQ."/>
  </r>
  <r>
    <x v="4"/>
    <d v="2025-05-16T00:00:00"/>
    <s v="TRANSFER. CASH MISMA TITULARIDAD"/>
    <m/>
    <n v="0"/>
    <n v="1600000"/>
    <n v="1600000"/>
    <n v="-7124830.1799999997"/>
    <n v="1140"/>
    <n v="0"/>
    <n v="1403.5087719298247"/>
    <s v="ARS"/>
    <s v="CC"/>
    <s v="GALICIA"/>
    <x v="0"/>
    <x v="0"/>
    <x v="0"/>
    <s v="DESDE CC MACRO"/>
    <m/>
    <m/>
    <x v="0"/>
    <m/>
    <s v="24/25"/>
    <m/>
    <m/>
  </r>
  <r>
    <x v="4"/>
    <d v="2025-05-16T00:00:00"/>
    <s v="IMP. DEB. LEY 25413 GRAL."/>
    <m/>
    <n v="7523"/>
    <n v="0"/>
    <n v="-7523"/>
    <n v="-7132353.1799999997"/>
    <n v="1140"/>
    <n v="6.5991228070175438"/>
    <n v="0"/>
    <s v="ARS"/>
    <s v="CC"/>
    <s v="GALICIA"/>
    <x v="1"/>
    <x v="1"/>
    <x v="1"/>
    <s v="TASA GRAL"/>
    <m/>
    <m/>
    <x v="1"/>
    <m/>
    <s v="24/25"/>
    <s v="EGRESOS"/>
    <s v="EFECTIVO Y OTROS ACT LÍQ EQ."/>
  </r>
  <r>
    <x v="4"/>
    <d v="2025-05-28T00:00:00"/>
    <s v="CHEQUE 48 HS."/>
    <s v=" N68698145"/>
    <n v="1473622.75"/>
    <n v="0"/>
    <n v="-1473622.75"/>
    <n v="-8605975.9299999997"/>
    <n v="1140"/>
    <n v="1292.6515350877194"/>
    <n v="0"/>
    <s v="ARS"/>
    <s v="CC"/>
    <s v="GALICIA"/>
    <x v="2"/>
    <x v="4"/>
    <x v="5"/>
    <s v="APLICACIONES"/>
    <s v="CLERICI JUAN PABLO"/>
    <s v="FA147 "/>
    <x v="6"/>
    <m/>
    <s v="23/24"/>
    <s v="BIENES Y SERVICIOS"/>
    <s v="EFECTIVO Y OTROS ACT LÍQ EQ."/>
  </r>
  <r>
    <x v="4"/>
    <d v="2025-05-28T00:00:00"/>
    <s v="CHEQUE 48 HS. "/>
    <s v="N68698148"/>
    <n v="1215000"/>
    <n v="0"/>
    <n v="-1215000"/>
    <n v="-9820975.9299999997"/>
    <n v="1140"/>
    <n v="1065.7894736842106"/>
    <n v="0"/>
    <s v="ARS"/>
    <s v="CC"/>
    <s v="GALICIA"/>
    <x v="5"/>
    <x v="13"/>
    <x v="36"/>
    <m/>
    <s v="TODO CAMPO COMB"/>
    <s v="FA8373 FA8374"/>
    <x v="6"/>
    <m/>
    <s v="24/25"/>
    <s v="BIENES DE USO"/>
    <s v="EFECTIVO Y OTROS ACT LÍQ EQ."/>
  </r>
  <r>
    <x v="4"/>
    <d v="2025-05-28T00:00:00"/>
    <s v="TRANSFER. CASH MISMA TITULARIDAD"/>
    <m/>
    <n v="0"/>
    <n v="2750000"/>
    <n v="2750000"/>
    <n v="-7070975.9299999997"/>
    <n v="1140"/>
    <n v="0"/>
    <n v="2412.280701754386"/>
    <s v="ARS"/>
    <s v="CC"/>
    <s v="GALICIA"/>
    <x v="0"/>
    <x v="0"/>
    <x v="0"/>
    <s v="DESDE CC MACRO"/>
    <m/>
    <m/>
    <x v="0"/>
    <m/>
    <m/>
    <m/>
    <m/>
  </r>
  <r>
    <x v="4"/>
    <d v="2025-05-28T00:00:00"/>
    <s v="IMP. DEB. LEY 25413 GRAL."/>
    <m/>
    <n v="16131.74"/>
    <n v="0"/>
    <n v="-16131.74"/>
    <n v="-7087107.6699999999"/>
    <n v="1140"/>
    <n v="14.150649122807017"/>
    <n v="0"/>
    <s v="ARS"/>
    <s v="CC"/>
    <s v="GALICIA"/>
    <x v="1"/>
    <x v="1"/>
    <x v="1"/>
    <s v="TASA GRAL"/>
    <m/>
    <m/>
    <x v="1"/>
    <m/>
    <s v="24/25"/>
    <s v="EGRESOS"/>
    <s v="EFECTIVO Y OTROS ACT LÍQ EQ."/>
  </r>
  <r>
    <x v="4"/>
    <d v="2025-05-30T00:00:00"/>
    <s v="CHEQUE 48 HS."/>
    <s v=" N68698150"/>
    <n v="249382.72"/>
    <n v="0"/>
    <n v="-249382.72"/>
    <n v="-7336490.3899999997"/>
    <n v="1140"/>
    <n v="218.75677192982457"/>
    <n v="0"/>
    <s v="ARS"/>
    <s v="CC"/>
    <s v="GALICIA"/>
    <x v="3"/>
    <x v="8"/>
    <x v="35"/>
    <m/>
    <s v="TRIVERO"/>
    <s v="FA 0487"/>
    <x v="6"/>
    <m/>
    <s v="24/25"/>
    <s v="BIENES DE USO"/>
    <s v="EFECTIVO Y OTROS ACT LÍQ EQ."/>
  </r>
  <r>
    <x v="4"/>
    <d v="2025-05-30T00:00:00"/>
    <s v="CHEQUE 48 HS. "/>
    <s v="N68698147"/>
    <n v="300000"/>
    <n v="0"/>
    <n v="-300000"/>
    <n v="-7636490.3899999997"/>
    <n v="1140"/>
    <n v="263.15789473684208"/>
    <n v="0"/>
    <s v="ARS"/>
    <s v="CC"/>
    <s v="GALICIA"/>
    <x v="3"/>
    <x v="5"/>
    <x v="37"/>
    <s v="MOLINO"/>
    <s v="CORTI"/>
    <s v="FA 288"/>
    <x v="6"/>
    <m/>
    <s v="24/25"/>
    <s v="BIENES DE USO"/>
    <s v="EFECTIVO Y OTROS ACT LÍQ EQ."/>
  </r>
  <r>
    <x v="4"/>
    <d v="2025-05-30T00:00:00"/>
    <s v="TRANSFER. CASH MISMA TITULARIDAD"/>
    <m/>
    <n v="0"/>
    <n v="500000"/>
    <n v="500000"/>
    <n v="-7936490.3899999997"/>
    <n v="1140"/>
    <n v="0"/>
    <n v="438.59649122807019"/>
    <s v="ARS"/>
    <s v="CC"/>
    <s v="GALICIA"/>
    <x v="0"/>
    <x v="0"/>
    <x v="0"/>
    <s v="DESDE CC MACRO"/>
    <m/>
    <m/>
    <x v="0"/>
    <m/>
    <m/>
    <m/>
    <m/>
  </r>
  <r>
    <x v="4"/>
    <d v="2025-05-30T00:00:00"/>
    <s v="IMP. DEB. LEY 25413 GRAL."/>
    <m/>
    <n v="3296.3"/>
    <n v="0"/>
    <n v="-3296.3"/>
    <n v="-8236490.3899999997"/>
    <n v="1140"/>
    <n v="2.8914912280701754"/>
    <n v="0"/>
    <s v="ARS"/>
    <s v="CC"/>
    <s v="GALICIA"/>
    <x v="1"/>
    <x v="1"/>
    <x v="1"/>
    <s v="TASA GRAL"/>
    <m/>
    <m/>
    <x v="1"/>
    <m/>
    <s v="24/25"/>
    <s v="EGRESOS"/>
    <s v="EFECTIVO Y OTROS ACT LÍQ EQ."/>
  </r>
  <r>
    <x v="5"/>
    <d v="2025-06-02T00:00:00"/>
    <s v="COMISION SERVICIO DE CUENTA"/>
    <m/>
    <n v="48000"/>
    <n v="0"/>
    <n v="-48000"/>
    <n v="-7187786.6900000004"/>
    <n v="1140"/>
    <n v="42.10526315789474"/>
    <n v="0"/>
    <s v="ARS"/>
    <s v="CC"/>
    <s v="GALICIA"/>
    <x v="1"/>
    <x v="7"/>
    <x v="9"/>
    <m/>
    <m/>
    <m/>
    <x v="1"/>
    <m/>
    <s v="24/25"/>
    <s v="EGRESOS"/>
    <s v="EFECTIVO Y OTROS ACT LÍQ EQ."/>
  </r>
  <r>
    <x v="5"/>
    <d v="2025-06-02T00:00:00"/>
    <s v=" IVA"/>
    <m/>
    <n v="10080"/>
    <n v="0"/>
    <n v="-10080"/>
    <n v="-7197866.6900000004"/>
    <n v="1140"/>
    <n v="8.8421052631578956"/>
    <n v="0"/>
    <s v="ARS"/>
    <s v="CC"/>
    <s v="GALICIA"/>
    <x v="1"/>
    <x v="1"/>
    <x v="1"/>
    <s v="DEBITO IVA FISCAL"/>
    <m/>
    <m/>
    <x v="1"/>
    <m/>
    <s v="24/25"/>
    <s v="EGRESOS"/>
    <s v="EFECTIVO Y OTROS ACT LÍQ EQ."/>
  </r>
  <r>
    <x v="5"/>
    <d v="2025-06-02T00:00:00"/>
    <s v=" PERCEP. IVA"/>
    <m/>
    <n v="1440"/>
    <n v="0"/>
    <n v="-1440"/>
    <n v="-7199306.6900000004"/>
    <n v="1140"/>
    <n v="1.263157894736842"/>
    <n v="0"/>
    <s v="ARS"/>
    <s v="CC"/>
    <s v="GALICIA"/>
    <x v="1"/>
    <x v="1"/>
    <x v="1"/>
    <s v="PERCEPCION IVA"/>
    <m/>
    <m/>
    <x v="1"/>
    <m/>
    <s v="24/25"/>
    <s v="EGRESOS"/>
    <s v="EFECTIVO Y OTROS ACT LÍQ EQ."/>
  </r>
  <r>
    <x v="5"/>
    <d v="2025-06-02T00:00:00"/>
    <s v=" COMISION CHEQUE PAGADO POR CLEARING"/>
    <m/>
    <n v="7200"/>
    <n v="0"/>
    <n v="-7200"/>
    <n v="-7206506.6900000004"/>
    <n v="1140"/>
    <n v="6.3157894736842106"/>
    <n v="0"/>
    <s v="ARS"/>
    <s v="CC"/>
    <s v="GALICIA"/>
    <x v="1"/>
    <x v="7"/>
    <x v="9"/>
    <m/>
    <m/>
    <m/>
    <x v="1"/>
    <m/>
    <s v="24/25"/>
    <s v="EGRESOS"/>
    <s v="EFECTIVO Y OTROS ACT LÍQ EQ."/>
  </r>
  <r>
    <x v="5"/>
    <d v="2025-06-02T00:00:00"/>
    <s v=" IVA"/>
    <m/>
    <n v="1512"/>
    <n v="0"/>
    <n v="-1512"/>
    <n v="-7208018.6900000004"/>
    <n v="1140"/>
    <n v="1.3263157894736841"/>
    <n v="0"/>
    <s v="ARS"/>
    <s v="CC"/>
    <s v="GALICIA"/>
    <x v="1"/>
    <x v="1"/>
    <x v="1"/>
    <s v="DEBITO IVA FISCAL"/>
    <m/>
    <m/>
    <x v="1"/>
    <m/>
    <s v="24/25"/>
    <s v="EGRESOS"/>
    <s v="EFECTIVO Y OTROS ACT LÍQ EQ."/>
  </r>
  <r>
    <x v="5"/>
    <d v="2025-06-02T00:00:00"/>
    <s v=" PERCEP. IVA"/>
    <m/>
    <n v="216"/>
    <n v="0"/>
    <n v="-216"/>
    <n v="-7208234.6900000004"/>
    <n v="1140"/>
    <n v="0.18947368421052632"/>
    <n v="0"/>
    <s v="ARS"/>
    <s v="CC"/>
    <s v="GALICIA"/>
    <x v="1"/>
    <x v="1"/>
    <x v="1"/>
    <s v="PERCEPCION IVA"/>
    <m/>
    <m/>
    <x v="1"/>
    <m/>
    <s v="24/25"/>
    <s v="EGRESOS"/>
    <s v="EFECTIVO Y OTROS ACT LÍQ EQ."/>
  </r>
  <r>
    <x v="5"/>
    <d v="2025-06-02T00:00:00"/>
    <s v=" IMP. DEB. LEY 25413"/>
    <m/>
    <n v="410.69"/>
    <n v="0"/>
    <n v="-410.69"/>
    <n v="-7208645.3799999999"/>
    <n v="1140"/>
    <n v="0.36025438596491227"/>
    <n v="0"/>
    <s v="ARS"/>
    <s v="CC"/>
    <s v="GALICIA"/>
    <x v="1"/>
    <x v="1"/>
    <x v="1"/>
    <s v="TASA GRAL"/>
    <m/>
    <m/>
    <x v="1"/>
    <m/>
    <s v="24/25"/>
    <s v="EGRESOS"/>
    <s v="EFECTIVO Y OTROS ACT LÍQ EQ."/>
  </r>
  <r>
    <x v="5"/>
    <d v="2025-06-02T00:00:00"/>
    <s v=" INTERESES SOBRE SALDOS DEUDORES"/>
    <m/>
    <n v="323999.42"/>
    <n v="0"/>
    <n v="-323999.42"/>
    <n v="-7532644.7999999998"/>
    <n v="1140"/>
    <n v="284.21001754385964"/>
    <n v="0"/>
    <s v="ARS"/>
    <s v="CC"/>
    <s v="GALICIA"/>
    <x v="1"/>
    <x v="6"/>
    <x v="8"/>
    <m/>
    <m/>
    <m/>
    <x v="1"/>
    <m/>
    <s v="24/25"/>
    <s v="EGRESOS"/>
    <s v="EFECTIVO Y OTROS ACT LÍQ EQ."/>
  </r>
  <r>
    <x v="5"/>
    <d v="2025-06-02T00:00:00"/>
    <s v=" IMPUESTO DE SELLOS"/>
    <m/>
    <n v="7328.15"/>
    <n v="0"/>
    <n v="-7328.15"/>
    <n v="-7539972.9500000002"/>
    <n v="1140"/>
    <n v="6.4282017543859649"/>
    <n v="0"/>
    <s v="ARS"/>
    <s v="CC"/>
    <s v="GALICIA"/>
    <x v="1"/>
    <x v="1"/>
    <x v="1"/>
    <s v="SELLOS"/>
    <m/>
    <m/>
    <x v="1"/>
    <m/>
    <s v="24/25"/>
    <s v="EGRESOS"/>
    <s v="EFECTIVO Y OTROS ACT LÍQ EQ."/>
  </r>
  <r>
    <x v="5"/>
    <d v="2025-06-02T00:00:00"/>
    <s v=" IVA"/>
    <m/>
    <n v="34019.94"/>
    <n v="0"/>
    <n v="-34019.94"/>
    <n v="-7573992.8899999997"/>
    <n v="1140"/>
    <n v="29.842052631578948"/>
    <n v="0"/>
    <s v="ARS"/>
    <s v="CC"/>
    <s v="GALICIA"/>
    <x v="1"/>
    <x v="1"/>
    <x v="1"/>
    <s v="DEBITO IVA FISCAL"/>
    <m/>
    <m/>
    <x v="1"/>
    <m/>
    <s v="24/25"/>
    <s v="EGRESOS"/>
    <s v="EFECTIVO Y OTROS ACT LÍQ EQ."/>
  </r>
  <r>
    <x v="5"/>
    <d v="2025-06-02T00:00:00"/>
    <s v=" PERCEP. IVA"/>
    <m/>
    <n v="4859.99"/>
    <n v="0"/>
    <n v="-4859.99"/>
    <n v="-7578852.8799999999"/>
    <n v="1140"/>
    <n v="4.2631491228070173"/>
    <n v="0"/>
    <s v="ARS"/>
    <s v="CC"/>
    <s v="GALICIA"/>
    <x v="1"/>
    <x v="1"/>
    <x v="1"/>
    <s v="PERCEPCION IVA"/>
    <m/>
    <m/>
    <x v="1"/>
    <m/>
    <s v="24/25"/>
    <s v="EGRESOS"/>
    <s v="EFECTIVO Y OTROS ACT LÍQ EQ."/>
  </r>
  <r>
    <x v="5"/>
    <d v="2025-06-03T00:00:00"/>
    <s v="CHEQUE 48 HS. "/>
    <s v="N68698153"/>
    <n v="122290"/>
    <n v="0"/>
    <n v="-122290"/>
    <n v="-7581074.1299999999"/>
    <n v="1140"/>
    <n v="107.2719298245614"/>
    <n v="0"/>
    <s v="ARS"/>
    <s v="CC"/>
    <s v="GALICIA"/>
    <x v="5"/>
    <x v="13"/>
    <x v="21"/>
    <m/>
    <s v="LA YUNTA VET"/>
    <s v="FA35 FA36"/>
    <x v="6"/>
    <m/>
    <s v="24/25"/>
    <s v="BIENES Y SERVICIOS"/>
    <s v="EFECTIVO Y OTROS ACT LÍQ EQ."/>
  </r>
  <r>
    <x v="5"/>
    <d v="2025-06-03T00:00:00"/>
    <s v="CHEQUE 48 HS. "/>
    <s v="N68698152"/>
    <n v="440000"/>
    <n v="0"/>
    <n v="-440000"/>
    <n v="-8021074.1299999999"/>
    <n v="1140"/>
    <n v="385.96491228070175"/>
    <n v="0"/>
    <s v="ARS"/>
    <s v="CC"/>
    <s v="GALICIA"/>
    <x v="5"/>
    <x v="13"/>
    <x v="4"/>
    <s v="HONORARIOS"/>
    <s v="FEDE PICCIOCHI"/>
    <s v="FA341"/>
    <x v="6"/>
    <m/>
    <s v="24/25"/>
    <s v="BIENES Y SERVICIOS"/>
    <s v="EFECTIVO Y OTROS ACT LÍQ EQ."/>
  </r>
  <r>
    <x v="5"/>
    <d v="2025-06-03T00:00:00"/>
    <s v="TRANSFER. CASH MISMA TITULARIDAD"/>
    <m/>
    <n v="0"/>
    <n v="850000"/>
    <n v="850000"/>
    <n v="-7293364.1299999999"/>
    <n v="1140"/>
    <n v="0"/>
    <n v="745.61403508771934"/>
    <s v="ARS"/>
    <s v="CC"/>
    <s v="GALICIA"/>
    <x v="0"/>
    <x v="0"/>
    <x v="0"/>
    <s v="DESDE CC MACRO"/>
    <m/>
    <m/>
    <x v="0"/>
    <m/>
    <m/>
    <m/>
    <m/>
  </r>
  <r>
    <x v="5"/>
    <d v="2025-06-03T00:00:00"/>
    <s v="IMP. DEB. LEY 25413 GRAL."/>
    <m/>
    <n v="3373.74"/>
    <n v="0"/>
    <n v="-3373.74"/>
    <n v="-7296737.8700000001"/>
    <n v="1140"/>
    <n v="2.959421052631579"/>
    <n v="0"/>
    <s v="ARS"/>
    <s v="CC"/>
    <s v="GALICIA"/>
    <x v="1"/>
    <x v="1"/>
    <x v="1"/>
    <s v="TASA GRAL"/>
    <m/>
    <m/>
    <x v="1"/>
    <m/>
    <s v="24/25"/>
    <s v="EGRESOS"/>
    <s v="EFECTIVO Y OTROS ACT LÍQ EQ."/>
  </r>
  <r>
    <x v="5"/>
    <d v="2025-06-04T00:00:00"/>
    <s v="TRANSFER. CASH MISMA TITULARIDAD"/>
    <m/>
    <n v="0"/>
    <n v="150000"/>
    <n v="150000"/>
    <n v="-7146737.8700000001"/>
    <n v="1140"/>
    <n v="0"/>
    <n v="131.57894736842104"/>
    <s v="ARS"/>
    <s v="CC"/>
    <s v="GALICIA"/>
    <x v="0"/>
    <x v="0"/>
    <x v="0"/>
    <s v="DESDE CC MACRO"/>
    <m/>
    <m/>
    <x v="0"/>
    <m/>
    <m/>
    <m/>
    <m/>
  </r>
  <r>
    <x v="5"/>
    <d v="2025-06-05T00:00:00"/>
    <s v="CHEQUE 48 HS. "/>
    <s v="N68698149"/>
    <n v="1215000"/>
    <n v="0"/>
    <n v="-1215000"/>
    <n v="-8361737.8700000001"/>
    <n v="1140"/>
    <n v="1065.7894736842106"/>
    <n v="0"/>
    <s v="ARS"/>
    <s v="CC"/>
    <s v="GALICIA"/>
    <x v="5"/>
    <x v="13"/>
    <x v="36"/>
    <s v="HACIENDA"/>
    <s v="TODO CAMPO COMB"/>
    <s v="FA8373 FA8374"/>
    <x v="6"/>
    <m/>
    <s v="24/25"/>
    <s v="BIENES DE USO"/>
    <s v="EFECTIVO Y OTROS ACT LÍQ EQ."/>
  </r>
  <r>
    <x v="5"/>
    <d v="2025-06-05T00:00:00"/>
    <s v="TRANSFERENCIA DE TERCEROS"/>
    <m/>
    <n v="0"/>
    <n v="1300000"/>
    <n v="1300000"/>
    <n v="-7061737.8700000001"/>
    <n v="1140"/>
    <n v="0"/>
    <n v="1140.3508771929824"/>
    <s v="ARS"/>
    <s v="CC"/>
    <s v="GALICIA"/>
    <x v="1"/>
    <x v="11"/>
    <x v="14"/>
    <s v="SE DEPOSITO EN EFEC PARA CUBRIR CHEQUE"/>
    <s v="BECERRA ADRIAN"/>
    <m/>
    <x v="10"/>
    <m/>
    <s v="24/25"/>
    <s v="EFECTIVO Y OTROS ACT LÍQ EQ."/>
    <s v="DEUDAS FINANCIERAS CP"/>
  </r>
  <r>
    <x v="5"/>
    <d v="2025-06-05T00:00:00"/>
    <s v="IMP. DEB. LEY 25413 GRAL."/>
    <m/>
    <n v="7290"/>
    <n v="0"/>
    <n v="-7290"/>
    <n v="-7069027.8700000001"/>
    <n v="1140"/>
    <n v="6.3947368421052628"/>
    <n v="0"/>
    <s v="ARS"/>
    <s v="CC"/>
    <s v="GALICIA"/>
    <x v="1"/>
    <x v="1"/>
    <x v="1"/>
    <s v="TASA GRAL"/>
    <m/>
    <m/>
    <x v="1"/>
    <m/>
    <s v="24/25"/>
    <s v="EGRESOS"/>
    <s v="EFECTIVO Y OTROS ACT LÍQ EQ."/>
  </r>
  <r>
    <x v="5"/>
    <d v="2025-06-05T00:00:00"/>
    <s v="IMP. CRE. LEY 25413"/>
    <m/>
    <n v="7800"/>
    <n v="0"/>
    <n v="-7800"/>
    <n v="-7076827.8700000001"/>
    <n v="1140"/>
    <n v="6.8421052631578947"/>
    <n v="0"/>
    <s v="ARS"/>
    <s v="CC"/>
    <s v="GALICIA"/>
    <x v="1"/>
    <x v="1"/>
    <x v="1"/>
    <s v="TASA GRAL"/>
    <m/>
    <m/>
    <x v="1"/>
    <m/>
    <s v="24/25"/>
    <s v="EGRESOS"/>
    <s v="EFECTIVO Y OTROS ACT LÍQ EQ."/>
  </r>
  <r>
    <x v="5"/>
    <d v="2025-06-10T00:00:00"/>
    <s v="CHEQUE 48 HS. "/>
    <s v="N68698154"/>
    <n v="168370"/>
    <n v="0"/>
    <n v="-168370"/>
    <n v="-7245197.8700000001"/>
    <n v="1140"/>
    <n v="147.69298245614036"/>
    <n v="0"/>
    <s v="ARS"/>
    <s v="CC"/>
    <s v="GALICIA"/>
    <x v="3"/>
    <x v="5"/>
    <x v="28"/>
    <s v="MARZO ABRIL"/>
    <s v="PANADERIA PICCO"/>
    <m/>
    <x v="5"/>
    <m/>
    <s v="24/25"/>
    <s v="BIENES Y SERVICIOS"/>
    <s v="EFECTIVO Y OTROS ACT LÍQ EQ."/>
  </r>
  <r>
    <x v="5"/>
    <d v="2025-06-10T00:00:00"/>
    <s v="CHEQUE 48 HS. "/>
    <s v="N68698143"/>
    <n v="1253833.94"/>
    <n v="0"/>
    <n v="-1253833.94"/>
    <n v="-8330661.8099999996"/>
    <n v="1140"/>
    <n v="1099.8543333333332"/>
    <n v="0"/>
    <s v="ARS"/>
    <s v="CC"/>
    <s v="GALICIA"/>
    <x v="2"/>
    <x v="15"/>
    <x v="25"/>
    <s v="SEMILLAS"/>
    <s v="PALO VERDE"/>
    <s v="FA 9152"/>
    <x v="6"/>
    <m/>
    <s v="24/25"/>
    <s v="INSUMOS 2025"/>
    <s v="EFECTIVO Y OTROS ACT LÍQ EQ."/>
  </r>
  <r>
    <x v="5"/>
    <d v="2025-06-10T00:00:00"/>
    <s v="TRANSFER. CASH MISMA TITULARIDAD"/>
    <m/>
    <n v="0"/>
    <n v="1500000"/>
    <n v="1500000"/>
    <n v="-6999031.8099999996"/>
    <n v="1140"/>
    <n v="0"/>
    <n v="1315.7894736842106"/>
    <s v="ARS"/>
    <s v="CC"/>
    <s v="GALICIA"/>
    <x v="0"/>
    <x v="0"/>
    <x v="0"/>
    <s v="DESDE CC MACRO"/>
    <m/>
    <m/>
    <x v="0"/>
    <m/>
    <s v="24/25"/>
    <m/>
    <m/>
  </r>
  <r>
    <x v="5"/>
    <d v="2025-06-10T00:00:00"/>
    <s v="IMP. DEB. LEY 25413 GRAL."/>
    <m/>
    <n v="8533.2199999999993"/>
    <n v="0"/>
    <n v="-8533.2199999999993"/>
    <n v="-7007565.0300000003"/>
    <n v="1140"/>
    <n v="7.4852807017543856"/>
    <n v="0"/>
    <s v="ARS"/>
    <s v="CC"/>
    <s v="GALICIA"/>
    <x v="1"/>
    <x v="1"/>
    <x v="1"/>
    <s v="TASA GRAL"/>
    <m/>
    <m/>
    <x v="1"/>
    <m/>
    <s v="24/25"/>
    <s v="EGRESOS"/>
    <s v="EFECTIVO Y OTROS ACT LÍQ EQ."/>
  </r>
  <r>
    <x v="5"/>
    <d v="2025-06-12T00:00:00"/>
    <s v="TRANSFER. CASH MISMA TITULARIDAD"/>
    <m/>
    <n v="0"/>
    <n v="7020000"/>
    <n v="7020000"/>
    <n v="12434.97"/>
    <n v="1140"/>
    <n v="0"/>
    <n v="6157.894736842105"/>
    <s v="ARS"/>
    <s v="CC"/>
    <s v="GALICIA"/>
    <x v="0"/>
    <x v="0"/>
    <x v="0"/>
    <s v="DESDE CC MACRO"/>
    <m/>
    <m/>
    <x v="0"/>
    <m/>
    <s v="24/25"/>
    <m/>
    <m/>
  </r>
  <r>
    <x v="5"/>
    <d v="2025-06-13T00:00:00"/>
    <s v="CHEQUE 48 HS. "/>
    <s v="N68698155"/>
    <n v="1800000"/>
    <n v="0"/>
    <n v="-1800000"/>
    <n v="-1787565.03"/>
    <n v="1140"/>
    <n v="1578.9473684210527"/>
    <n v="0"/>
    <s v="ARS"/>
    <s v="CC"/>
    <s v="GALICIA"/>
    <x v="5"/>
    <x v="13"/>
    <x v="36"/>
    <s v="HACIENDA"/>
    <s v="HA COMBUSTIBLES"/>
    <s v="FA 2957"/>
    <x v="6"/>
    <m/>
    <s v="24/25"/>
    <s v="BIENES Y SERVICIOS"/>
    <s v="EFECTIVO Y OTROS ACT LÍQ EQ."/>
  </r>
  <r>
    <x v="5"/>
    <d v="2025-06-13T00:00:00"/>
    <s v="TRANSFER. CASH MISMA TITULARIDAD"/>
    <m/>
    <n v="0"/>
    <n v="2000000"/>
    <n v="2000000"/>
    <n v="212434.97"/>
    <n v="1140"/>
    <n v="0"/>
    <n v="1754.3859649122808"/>
    <s v="ARS"/>
    <s v="CC"/>
    <s v="GALICIA"/>
    <x v="0"/>
    <x v="0"/>
    <x v="0"/>
    <s v="DESDE CC MACRO"/>
    <m/>
    <m/>
    <x v="0"/>
    <m/>
    <s v="24/25"/>
    <m/>
    <m/>
  </r>
  <r>
    <x v="5"/>
    <d v="2025-06-13T00:00:00"/>
    <s v="IMP. DEB. LEY 25413 GRAL."/>
    <m/>
    <n v="10800"/>
    <n v="0"/>
    <n v="-10800"/>
    <n v="201634.97"/>
    <n v="1140"/>
    <n v="9.473684210526315"/>
    <n v="0"/>
    <s v="ARS"/>
    <s v="CC"/>
    <s v="GALICIA"/>
    <x v="1"/>
    <x v="1"/>
    <x v="1"/>
    <s v="TASA GRAL"/>
    <m/>
    <m/>
    <x v="1"/>
    <m/>
    <s v="24/25"/>
    <s v="EGRESOS"/>
    <s v="EFECTIVO Y OTROS ACT LÍQ EQ."/>
  </r>
  <r>
    <x v="5"/>
    <d v="2025-06-18T00:00:00"/>
    <s v="CHEQUE 48 HS."/>
    <s v="N68698151"/>
    <n v="166000"/>
    <n v="0"/>
    <n v="-166000"/>
    <n v="35634.97"/>
    <n v="1140"/>
    <n v="145.61403508771929"/>
    <n v="0"/>
    <s v="ARS"/>
    <s v="CC"/>
    <s v="GALICIA"/>
    <x v="3"/>
    <x v="8"/>
    <x v="11"/>
    <m/>
    <s v="ALINEACIONES ROBLEDO"/>
    <s v="FA 0065"/>
    <x v="6"/>
    <m/>
    <s v="24/25"/>
    <s v="BIENES Y SERVICIOS"/>
    <s v="EFECTIVO Y OTROS ACT LÍQ EQ."/>
  </r>
  <r>
    <x v="5"/>
    <d v="2025-06-17T00:00:00"/>
    <s v="CHEQUE GALICIA "/>
    <s v="N68698156"/>
    <n v="1947415.84"/>
    <n v="0"/>
    <n v="-1947415.84"/>
    <n v="-1911780.87"/>
    <n v="1140"/>
    <n v="1708.2595087719299"/>
    <n v="0"/>
    <s v="ARS"/>
    <s v="CC"/>
    <s v="GALICIA"/>
    <x v="5"/>
    <x v="13"/>
    <x v="36"/>
    <s v="HACIENDA"/>
    <s v="HA COMBUSTIBLES"/>
    <s v="FA 2957"/>
    <x v="6"/>
    <m/>
    <s v="24/25"/>
    <s v="BIENES Y SERVICIOS"/>
    <s v="EFECTIVO Y OTROS ACT LÍQ EQ."/>
  </r>
  <r>
    <x v="5"/>
    <d v="2025-06-18T00:00:00"/>
    <s v="TRANSF INMED CP"/>
    <m/>
    <n v="1000000"/>
    <n v="0"/>
    <n v="-1000000"/>
    <n v="-2923465.37"/>
    <n v="1140"/>
    <n v="877.19298245614038"/>
    <n v="0"/>
    <s v="ARS"/>
    <s v="CC"/>
    <s v="GALICIA"/>
    <x v="0"/>
    <x v="0"/>
    <x v="0"/>
    <s v="HACIA CC MACRO"/>
    <m/>
    <m/>
    <x v="0"/>
    <m/>
    <s v="24/25"/>
    <m/>
    <m/>
  </r>
  <r>
    <x v="5"/>
    <d v="2025-06-18T00:00:00"/>
    <s v="TRF INMED PROVEED"/>
    <m/>
    <n v="200000"/>
    <n v="0"/>
    <n v="-200000"/>
    <n v="-3481835.37"/>
    <n v="1140"/>
    <n v="175.43859649122808"/>
    <n v="0"/>
    <s v="ARS"/>
    <s v="CC"/>
    <s v="GALICIA"/>
    <x v="1"/>
    <x v="3"/>
    <x v="13"/>
    <m/>
    <s v="MARTIN TOLEDO"/>
    <m/>
    <x v="3"/>
    <m/>
    <s v="24/25"/>
    <s v="EGRESOS"/>
    <s v="EFECTIVO Y OTROS ACT LÍQ EQ."/>
  </r>
  <r>
    <x v="5"/>
    <d v="2025-06-18T00:00:00"/>
    <s v="TRF INMED PROVEED"/>
    <m/>
    <n v="8370"/>
    <n v="0"/>
    <n v="-8370"/>
    <n v="-3690205.37"/>
    <n v="1140"/>
    <n v="7.3421052631578947"/>
    <n v="0"/>
    <s v="ARS"/>
    <s v="CC"/>
    <s v="GALICIA"/>
    <x v="1"/>
    <x v="3"/>
    <x v="3"/>
    <s v="OSECAC Y FAECYS"/>
    <s v="KEVIN TOLEDO"/>
    <m/>
    <x v="3"/>
    <m/>
    <s v="24/25"/>
    <s v="EGRESOS"/>
    <s v="EFECTIVO Y OTROS ACT LÍQ EQ."/>
  </r>
  <r>
    <x v="5"/>
    <d v="2025-06-18T00:00:00"/>
    <s v="IMP. DEB. LEY 25413 GRAL."/>
    <m/>
    <n v="4346.22"/>
    <n v="0"/>
    <n v="-4346.22"/>
    <n v="-3486181.59"/>
    <n v="1140"/>
    <n v="3.8124736842105267"/>
    <n v="0"/>
    <s v="ARS"/>
    <s v="CC"/>
    <s v="GALICIA"/>
    <x v="1"/>
    <x v="1"/>
    <x v="1"/>
    <s v="TASA GRAL"/>
    <m/>
    <m/>
    <x v="1"/>
    <m/>
    <s v="24/25"/>
    <s v="EGRESOS"/>
    <s v="EFECTIVO Y OTROS ACT LÍQ EQ."/>
  </r>
  <r>
    <x v="5"/>
    <d v="2025-06-18T00:00:00"/>
    <s v="TRF INMED PROVEED"/>
    <m/>
    <n v="350000"/>
    <n v="0"/>
    <n v="-350000"/>
    <n v="-3273465.37"/>
    <n v="1140"/>
    <n v="307.01754385964909"/>
    <n v="0"/>
    <s v="ARS"/>
    <s v="CC"/>
    <s v="GALICIA"/>
    <x v="1"/>
    <x v="2"/>
    <x v="2"/>
    <s v="PARTE JULIO"/>
    <s v="CLAUDIA ERRECALDE"/>
    <m/>
    <x v="15"/>
    <s v="CLAUDIA"/>
    <s v="24/25"/>
    <s v="FUTURAS UT. ADL CLAUDIA"/>
    <s v="EFECTIVO Y OTROS ACT LÍQ EQ."/>
  </r>
  <r>
    <x v="5"/>
    <d v="2025-06-19T00:00:00"/>
    <s v="TRF INMED PROVEED"/>
    <m/>
    <n v="34706.230000000003"/>
    <n v="0"/>
    <n v="-34706.230000000003"/>
    <n v="-3520887.82"/>
    <n v="1140"/>
    <n v="30.444061403508776"/>
    <n v="0"/>
    <s v="ARS"/>
    <s v="CC"/>
    <s v="GALICIA"/>
    <x v="2"/>
    <x v="4"/>
    <x v="5"/>
    <s v="RESTO DEL SEGURO"/>
    <s v="LA SEGUNDA SEGUROS"/>
    <m/>
    <x v="6"/>
    <m/>
    <s v="24/25"/>
    <s v="EGRESOS"/>
    <s v="EFECTIVO Y OTROS ACT LÍQ EQ."/>
  </r>
  <r>
    <x v="5"/>
    <d v="2025-06-19T00:00:00"/>
    <s v="IMP. DEB. LEY 25413 GRAL."/>
    <m/>
    <n v="208.24"/>
    <n v="0"/>
    <n v="-208.24"/>
    <n v="-3521096.06"/>
    <n v="1140"/>
    <n v="0.18266666666666667"/>
    <n v="0"/>
    <s v="ARS"/>
    <s v="CC"/>
    <s v="GALICIA"/>
    <x v="1"/>
    <x v="1"/>
    <x v="1"/>
    <s v="TASA GRAL"/>
    <m/>
    <m/>
    <x v="1"/>
    <m/>
    <s v="24/25"/>
    <s v="EGRESOS"/>
    <s v="EFECTIVO Y OTROS ACT LÍQ EQ."/>
  </r>
  <r>
    <x v="5"/>
    <d v="2025-06-23T00:00:00"/>
    <s v="TRF INMED PROVEED"/>
    <m/>
    <n v="377406"/>
    <n v="0"/>
    <n v="-377406"/>
    <n v="-3898502.06"/>
    <n v="1140"/>
    <n v="331.05789473684212"/>
    <n v="0"/>
    <s v="ARS"/>
    <s v="CC"/>
    <s v="GALICIA"/>
    <x v="5"/>
    <x v="13"/>
    <x v="38"/>
    <s v="HACIENDA"/>
    <s v="FACUNDO DE DIOS "/>
    <m/>
    <x v="6"/>
    <m/>
    <s v="24/25"/>
    <s v="BIENES Y SERVICIOS"/>
    <s v="EFECTIVO Y OTROS ACT LÍQ EQ."/>
  </r>
  <r>
    <x v="5"/>
    <d v="2025-06-23T00:00:00"/>
    <s v="TRF INMED PROVEED"/>
    <m/>
    <n v="593826"/>
    <n v="0"/>
    <n v="-593826"/>
    <n v="-4492328.0599999996"/>
    <n v="1140"/>
    <n v="520.9"/>
    <n v="0"/>
    <s v="ARS"/>
    <s v="CC"/>
    <s v="GALICIA"/>
    <x v="1"/>
    <x v="11"/>
    <x v="26"/>
    <s v="POR PAGO A MARTIN, GUIA,  DE DIOS FACUNDO"/>
    <s v="BECERRA ADRIAN"/>
    <m/>
    <x v="10"/>
    <m/>
    <s v="24/25"/>
    <s v="DEUDAS FINANCIERAS CP"/>
    <s v="EFECTIVO Y OTROS ACT LÍQ EQ."/>
  </r>
  <r>
    <x v="5"/>
    <d v="2025-06-23T00:00:00"/>
    <s v="TRF INMED PROVEED"/>
    <m/>
    <n v="200000"/>
    <n v="0"/>
    <n v="-200000"/>
    <n v="-4692328.0599999996"/>
    <n v="1140"/>
    <n v="175.43859649122808"/>
    <n v="0"/>
    <s v="ARS"/>
    <s v="CC"/>
    <s v="GALICIA"/>
    <x v="1"/>
    <x v="2"/>
    <x v="2"/>
    <s v="PARTE JULIO"/>
    <s v="CLAUDIA ERRECALDE"/>
    <m/>
    <x v="15"/>
    <s v="CLAUDIA"/>
    <s v="24/25"/>
    <s v="FUTURAS UT. ADL CLAUDIA"/>
    <s v="EFECTIVO Y OTROS ACT LÍQ EQ."/>
  </r>
  <r>
    <x v="5"/>
    <d v="2025-06-23T00:00:00"/>
    <s v="IMP. DEB. LEY 25413 GRAL."/>
    <m/>
    <n v="7027.39"/>
    <n v="0"/>
    <n v="-7027.39"/>
    <n v="-4699355.45"/>
    <n v="1140"/>
    <n v="6.1643771929824567"/>
    <n v="0"/>
    <s v="ARS"/>
    <s v="CC"/>
    <s v="GALICIA"/>
    <x v="1"/>
    <x v="1"/>
    <x v="1"/>
    <s v="TASA GRAL"/>
    <m/>
    <m/>
    <x v="1"/>
    <m/>
    <s v="24/25"/>
    <s v="EGRESOS"/>
    <s v="EFECTIVO Y OTROS ACT LÍQ EQ."/>
  </r>
  <r>
    <x v="5"/>
    <d v="2025-06-24T00:00:00"/>
    <s v="ECHEQ 48 HS. "/>
    <s v="N119"/>
    <n v="8184079.3300000001"/>
    <n v="0"/>
    <n v="-8184079.3300000001"/>
    <n v="-12883434.779999999"/>
    <n v="1140"/>
    <n v="7179.0169561403509"/>
    <n v="0"/>
    <s v="ARS"/>
    <s v="CC"/>
    <s v="GALICIA"/>
    <x v="2"/>
    <x v="4"/>
    <x v="27"/>
    <s v=" PICADO "/>
    <s v="MARGARIA"/>
    <s v="FA 931"/>
    <x v="6"/>
    <m/>
    <s v="24/25"/>
    <s v="BIENES Y SERVICIOS"/>
    <s v="EFECTIVO Y OTROS ACT LÍQ EQ."/>
  </r>
  <r>
    <x v="5"/>
    <d v="2025-06-24T00:00:00"/>
    <s v="TRANSFERENCIA DE CUENTA PROPIA"/>
    <m/>
    <n v="0"/>
    <n v="5000000"/>
    <n v="5000000"/>
    <n v="-7883434.7800000003"/>
    <n v="1140"/>
    <n v="0"/>
    <n v="4385.9649122807014"/>
    <s v="ARS"/>
    <s v="CC"/>
    <s v="GALICIA"/>
    <x v="0"/>
    <x v="0"/>
    <x v="0"/>
    <s v="DESDE CC PAMPA"/>
    <m/>
    <m/>
    <x v="0"/>
    <m/>
    <s v="24/25"/>
    <m/>
    <m/>
  </r>
  <r>
    <x v="5"/>
    <d v="2025-06-24T00:00:00"/>
    <s v="TRANSFERENCIA DE CUENTA PROPIA"/>
    <m/>
    <n v="0"/>
    <n v="950000"/>
    <n v="950000"/>
    <n v="-6933434.7800000003"/>
    <n v="1140"/>
    <n v="0"/>
    <n v="833.33333333333337"/>
    <s v="ARS"/>
    <s v="CC"/>
    <s v="GALICIA"/>
    <x v="0"/>
    <x v="0"/>
    <x v="0"/>
    <s v="DESDE CC NACION"/>
    <m/>
    <m/>
    <x v="0"/>
    <m/>
    <s v="24/25"/>
    <m/>
    <m/>
  </r>
  <r>
    <x v="5"/>
    <d v="2025-06-24T00:00:00"/>
    <s v="TRF INMED PROVEED"/>
    <m/>
    <n v="55200"/>
    <n v="0"/>
    <n v="-55200"/>
    <n v="-7140634.7800000003"/>
    <n v="1140"/>
    <n v="48.421052631578945"/>
    <n v="0"/>
    <s v="ARS"/>
    <s v="CC"/>
    <s v="GALICIA"/>
    <x v="5"/>
    <x v="13"/>
    <x v="39"/>
    <s v="HACIENDA"/>
    <s v="SENASA"/>
    <m/>
    <x v="6"/>
    <m/>
    <s v="24/25"/>
    <s v="BIENES Y SERVICIOS"/>
    <s v="EFECTIVO Y OTROS ACT LÍQ EQ."/>
  </r>
  <r>
    <x v="5"/>
    <d v="2025-06-24T00:00:00"/>
    <s v="TRF INMED PROVEED"/>
    <m/>
    <n v="152000"/>
    <n v="0"/>
    <n v="-152000"/>
    <n v="-7140634.7800000003"/>
    <n v="1140"/>
    <n v="133.33333333333334"/>
    <n v="0"/>
    <s v="ARS"/>
    <s v="CC"/>
    <s v="GALICIA"/>
    <x v="1"/>
    <x v="5"/>
    <x v="24"/>
    <s v="CEL RAULI"/>
    <s v="MOVISTAR"/>
    <m/>
    <x v="6"/>
    <m/>
    <s v="24/25"/>
    <s v="BIENES Y SERVICIOS"/>
    <s v="EFECTIVO Y OTROS ACT LÍQ EQ."/>
  </r>
  <r>
    <x v="5"/>
    <d v="2025-06-24T00:00:00"/>
    <s v="IMP. DEB. LEY 25413 GRAL."/>
    <m/>
    <n v="50347.68"/>
    <n v="0"/>
    <n v="-50347.68"/>
    <n v="-7190982.46"/>
    <n v="1140"/>
    <n v="44.164631578947372"/>
    <n v="0"/>
    <s v="ARS"/>
    <s v="CC"/>
    <s v="GALICIA"/>
    <x v="1"/>
    <x v="1"/>
    <x v="1"/>
    <s v="TASA GRAL"/>
    <m/>
    <m/>
    <x v="1"/>
    <m/>
    <s v="24/25"/>
    <s v="EGRESOS"/>
    <s v="EFECTIVO Y OTROS ACT LÍQ EQ."/>
  </r>
  <r>
    <x v="5"/>
    <d v="2025-06-25T00:00:00"/>
    <s v="TRANSFER. CASH MISMA TITULARIDAD"/>
    <m/>
    <n v="0"/>
    <n v="7200000"/>
    <n v="7200000"/>
    <n v="9017.5400000000009"/>
    <n v="1140"/>
    <n v="0"/>
    <n v="6315.7894736842109"/>
    <s v="ARS"/>
    <s v="CC"/>
    <s v="GALICIA"/>
    <x v="0"/>
    <x v="0"/>
    <x v="0"/>
    <s v="DESDE CC MACRO"/>
    <m/>
    <m/>
    <x v="0"/>
    <m/>
    <s v="24/25"/>
    <m/>
    <m/>
  </r>
  <r>
    <x v="5"/>
    <d v="2025-06-25T00:00:00"/>
    <s v="TRF INMED PROVEED"/>
    <m/>
    <n v="232500"/>
    <n v="0"/>
    <n v="-232500"/>
    <n v="-223482.46"/>
    <n v="1140"/>
    <n v="203.94736842105263"/>
    <n v="0"/>
    <s v="ARS"/>
    <s v="CC"/>
    <s v="GALICIA"/>
    <x v="3"/>
    <x v="14"/>
    <x v="40"/>
    <m/>
    <s v="DIRATCHETTE AGUSTIN"/>
    <s v="FA 607"/>
    <x v="6"/>
    <m/>
    <s v="24/25"/>
    <s v="BIENES Y SERVICIOS"/>
    <s v="EFECTIVO Y OTROS ACT LÍQ EQ."/>
  </r>
  <r>
    <x v="5"/>
    <d v="2025-06-25T00:00:00"/>
    <s v="IMP. DEB. LEY 25413 GRAL."/>
    <m/>
    <n v="1395"/>
    <n v="0"/>
    <n v="-1395"/>
    <n v="-224877.46"/>
    <n v="1140"/>
    <n v="1.2236842105263157"/>
    <n v="0"/>
    <s v="ARS"/>
    <s v="CC"/>
    <s v="GALICIA"/>
    <x v="1"/>
    <x v="1"/>
    <x v="1"/>
    <s v="TASA GRAL"/>
    <m/>
    <m/>
    <x v="1"/>
    <m/>
    <s v="24/25"/>
    <s v="EGRESOS"/>
    <s v="EFECTIVO Y OTROS ACT LÍQ EQ."/>
  </r>
  <r>
    <x v="6"/>
    <d v="2025-07-01T00:00:00"/>
    <s v="COMISION SERVICIO DE CUENTA"/>
    <m/>
    <n v="48000"/>
    <n v="0"/>
    <n v="-48000"/>
    <n v="-272877.46000000002"/>
    <n v="1140"/>
    <n v="42.10526315789474"/>
    <n v="0"/>
    <s v="ARS"/>
    <s v="CC"/>
    <s v="GALICIA"/>
    <x v="1"/>
    <x v="7"/>
    <x v="9"/>
    <m/>
    <m/>
    <m/>
    <x v="1"/>
    <m/>
    <s v="24/25"/>
    <s v="EGRESOS"/>
    <s v="EFECTIVO Y OTROS ACT LÍQ EQ."/>
  </r>
  <r>
    <x v="6"/>
    <d v="2025-07-01T00:00:00"/>
    <s v="IVA"/>
    <m/>
    <n v="10080"/>
    <n v="0"/>
    <n v="-10080"/>
    <n v="-282957.46000000002"/>
    <n v="1140"/>
    <n v="8.8421052631578956"/>
    <n v="0"/>
    <s v="ARS"/>
    <s v="CC"/>
    <s v="GALICIA"/>
    <x v="1"/>
    <x v="1"/>
    <x v="1"/>
    <m/>
    <m/>
    <m/>
    <x v="1"/>
    <m/>
    <s v="24/25"/>
    <s v="EGRESOS"/>
    <s v="EFECTIVO Y OTROS ACT LÍQ EQ."/>
  </r>
  <r>
    <x v="6"/>
    <d v="2025-07-01T00:00:00"/>
    <s v="PERCEP. IVA"/>
    <m/>
    <n v="1440"/>
    <n v="0"/>
    <n v="-1440"/>
    <n v="-284397.46000000002"/>
    <n v="1140"/>
    <n v="1.263157894736842"/>
    <n v="0"/>
    <s v="ARS"/>
    <s v="CC"/>
    <s v="GALICIA"/>
    <x v="1"/>
    <x v="1"/>
    <x v="1"/>
    <m/>
    <m/>
    <m/>
    <x v="1"/>
    <m/>
    <s v="24/25"/>
    <s v="EGRESOS"/>
    <s v="EFECTIVO Y OTROS ACT LÍQ EQ."/>
  </r>
  <r>
    <x v="6"/>
    <d v="2025-07-01T00:00:00"/>
    <s v="COMISION CHEQUE PAGADO POR CLEARING"/>
    <m/>
    <n v="9600"/>
    <n v="0"/>
    <n v="-9600"/>
    <n v="-293997.46000000002"/>
    <n v="1140"/>
    <n v="8.4210526315789469"/>
    <n v="0"/>
    <s v="ARS"/>
    <s v="CC"/>
    <s v="GALICIA"/>
    <x v="1"/>
    <x v="7"/>
    <x v="9"/>
    <m/>
    <m/>
    <m/>
    <x v="1"/>
    <m/>
    <s v="24/25"/>
    <s v="EGRESOS"/>
    <s v="EFECTIVO Y OTROS ACT LÍQ EQ."/>
  </r>
  <r>
    <x v="6"/>
    <d v="2025-07-01T00:00:00"/>
    <s v="IVA"/>
    <m/>
    <n v="2016"/>
    <n v="0"/>
    <n v="-2016"/>
    <n v="-296013.46000000002"/>
    <n v="1140"/>
    <n v="1.7684210526315789"/>
    <n v="0"/>
    <s v="ARS"/>
    <s v="CC"/>
    <s v="GALICIA"/>
    <x v="1"/>
    <x v="1"/>
    <x v="1"/>
    <m/>
    <m/>
    <m/>
    <x v="1"/>
    <m/>
    <s v="24/25"/>
    <s v="EGRESOS"/>
    <s v="EFECTIVO Y OTROS ACT LÍQ EQ."/>
  </r>
  <r>
    <x v="6"/>
    <d v="2025-07-01T00:00:00"/>
    <s v="PERCEP. IVA"/>
    <m/>
    <n v="288"/>
    <n v="0"/>
    <n v="-288"/>
    <n v="-296301.46000000002"/>
    <n v="1140"/>
    <n v="0.25263157894736843"/>
    <n v="0"/>
    <s v="ARS"/>
    <s v="CC"/>
    <s v="GALICIA"/>
    <x v="1"/>
    <x v="1"/>
    <x v="1"/>
    <m/>
    <m/>
    <m/>
    <x v="1"/>
    <m/>
    <s v="24/25"/>
    <s v="EGRESOS"/>
    <s v="EFECTIVO Y OTROS ACT LÍQ EQ."/>
  </r>
  <r>
    <x v="6"/>
    <d v="2025-07-01T00:00:00"/>
    <s v="DEBITO AUTOMATICO GALICIA RURAL"/>
    <m/>
    <n v="4693.43"/>
    <n v="0"/>
    <n v="-4693.43"/>
    <n v="-300994.89"/>
    <n v="1140"/>
    <n v="4.1170438596491232"/>
    <n v="0"/>
    <s v="ARS"/>
    <s v="CC"/>
    <s v="GALICIA"/>
    <x v="1"/>
    <x v="1"/>
    <x v="1"/>
    <m/>
    <m/>
    <m/>
    <x v="1"/>
    <m/>
    <s v="24/25"/>
    <s v="EGRESOS"/>
    <s v="EFECTIVO Y OTROS ACT LÍQ EQ."/>
  </r>
  <r>
    <x v="6"/>
    <d v="2025-07-01T00:00:00"/>
    <s v="IMP. DEB. LEY 25413 GRAL."/>
    <m/>
    <n v="456.7"/>
    <n v="0"/>
    <n v="-456.7"/>
    <n v="-301451.59000000003"/>
    <n v="1140"/>
    <n v="0.40061403508771931"/>
    <n v="0"/>
    <s v="ARS"/>
    <s v="CC"/>
    <s v="GALICIA"/>
    <x v="1"/>
    <x v="1"/>
    <x v="1"/>
    <s v="TASA GRAL"/>
    <m/>
    <m/>
    <x v="1"/>
    <m/>
    <s v="24/25"/>
    <s v="EGRESOS"/>
    <s v="EFECTIVO Y OTROS ACT LÍQ EQ."/>
  </r>
  <r>
    <x v="6"/>
    <d v="2025-07-01T00:00:00"/>
    <s v="INTERESES SOBRE SALDOS DEUDORES"/>
    <m/>
    <n v="161538.82999999999"/>
    <n v="0"/>
    <n v="-161538.82999999999"/>
    <n v="-462990.42"/>
    <n v="1140"/>
    <n v="141.70072807017542"/>
    <n v="0"/>
    <s v="ARS"/>
    <s v="CC"/>
    <s v="GALICIA"/>
    <x v="1"/>
    <x v="6"/>
    <x v="8"/>
    <m/>
    <m/>
    <m/>
    <x v="1"/>
    <m/>
    <s v="24/25"/>
    <s v="EGRESOS"/>
    <s v="EFECTIVO Y OTROS ACT LÍQ EQ."/>
  </r>
  <r>
    <x v="6"/>
    <d v="2025-07-01T00:00:00"/>
    <s v="IMPUESTO DE SELLOS"/>
    <m/>
    <n v="3653.63"/>
    <n v="0"/>
    <n v="-3653.63"/>
    <n v="-466644.05"/>
    <n v="1140"/>
    <n v="3.2049385964912283"/>
    <n v="0"/>
    <s v="ARS"/>
    <s v="CC"/>
    <s v="GALICIA"/>
    <x v="1"/>
    <x v="1"/>
    <x v="1"/>
    <s v="SELLOS"/>
    <m/>
    <m/>
    <x v="1"/>
    <m/>
    <s v="24/25"/>
    <s v="EGRESOS"/>
    <s v="EFECTIVO Y OTROS ACT LÍQ EQ."/>
  </r>
  <r>
    <x v="6"/>
    <d v="2025-07-01T00:00:00"/>
    <s v="IVA"/>
    <m/>
    <n v="16961.580000000002"/>
    <n v="0"/>
    <n v="-16961.580000000002"/>
    <n v="-483605.63"/>
    <n v="1140"/>
    <n v="14.878578947368423"/>
    <n v="0"/>
    <s v="ARS"/>
    <s v="CC"/>
    <s v="GALICIA"/>
    <x v="1"/>
    <x v="1"/>
    <x v="1"/>
    <s v="DEBITO IVA FISCAL"/>
    <m/>
    <m/>
    <x v="1"/>
    <m/>
    <s v="24/25"/>
    <s v="EGRESOS"/>
    <s v="EFECTIVO Y OTROS ACT LÍQ EQ."/>
  </r>
  <r>
    <x v="6"/>
    <d v="2025-07-01T00:00:00"/>
    <s v="PERCEP. IVA"/>
    <m/>
    <n v="2423.08"/>
    <n v="0"/>
    <n v="-2423.08"/>
    <n v="-486028.71"/>
    <n v="1140"/>
    <n v="2.1255087719298245"/>
    <n v="0"/>
    <s v="ARS"/>
    <s v="CC"/>
    <s v="GALICIA"/>
    <x v="1"/>
    <x v="1"/>
    <x v="1"/>
    <s v="PERCEPCION IVA"/>
    <m/>
    <m/>
    <x v="1"/>
    <m/>
    <s v="24/25"/>
    <s v="EGRESOS"/>
    <s v="EFECTIVO Y OTROS ACT LÍQ EQ."/>
  </r>
  <r>
    <x v="6"/>
    <d v="2025-07-01T00:00:00"/>
    <s v="IMP. DEB. LEY 25413 GRAL."/>
    <m/>
    <n v="1107.46"/>
    <n v="0"/>
    <n v="-1107.46"/>
    <n v="-487136.17"/>
    <n v="1140"/>
    <n v="0.97145614035087724"/>
    <n v="0"/>
    <s v="ARS"/>
    <s v="CC"/>
    <s v="GALICIA"/>
    <x v="1"/>
    <x v="1"/>
    <x v="1"/>
    <s v="TASA GRAL"/>
    <m/>
    <m/>
    <x v="1"/>
    <m/>
    <s v="24/25"/>
    <s v="EGRESOS"/>
    <s v="EFECTIVO Y OTROS ACT LÍQ EQ."/>
  </r>
  <r>
    <x v="6"/>
    <d v="2025-07-02T00:00:00"/>
    <s v="CHEQUE 48 HS. "/>
    <s v="N68698146"/>
    <n v="1473622.75"/>
    <n v="0"/>
    <n v="-1473622.75"/>
    <n v="-1960758.92"/>
    <n v="1140"/>
    <n v="1292.6515350877194"/>
    <n v="0"/>
    <s v="ARS"/>
    <s v="CC"/>
    <s v="GALICIA"/>
    <x v="2"/>
    <x v="4"/>
    <x v="5"/>
    <s v="APLICACIONES"/>
    <s v="CLERICI JUAN PABLO"/>
    <s v="FA 147"/>
    <x v="6"/>
    <m/>
    <s v="23/24"/>
    <s v="BIENES Y SERVICIOS"/>
    <s v="EFECTIVO Y OTROS ACT LÍQ EQ."/>
  </r>
  <r>
    <x v="6"/>
    <d v="2025-07-02T00:00:00"/>
    <s v="TRANSFER. CASH MISMA TITULARIDAD"/>
    <m/>
    <n v="0"/>
    <n v="2000000"/>
    <n v="2000000"/>
    <n v="39241.08"/>
    <n v="1140"/>
    <n v="0"/>
    <n v="1754.3859649122808"/>
    <s v="ARS"/>
    <s v="CC"/>
    <s v="GALICIA"/>
    <x v="0"/>
    <x v="0"/>
    <x v="0"/>
    <s v="DESDE CC MACRO"/>
    <m/>
    <m/>
    <x v="0"/>
    <m/>
    <s v="24/25"/>
    <m/>
    <m/>
  </r>
  <r>
    <x v="6"/>
    <d v="2025-07-02T00:00:00"/>
    <s v="IMP. DEB. LEY 25413 GRAL."/>
    <m/>
    <n v="8841.74"/>
    <n v="0"/>
    <n v="-8841.74"/>
    <n v="30399.34"/>
    <n v="1140"/>
    <n v="7.7559122807017538"/>
    <n v="0"/>
    <s v="ARS"/>
    <s v="CC"/>
    <s v="GALICIA"/>
    <x v="1"/>
    <x v="1"/>
    <x v="1"/>
    <s v="TASA GRAL"/>
    <m/>
    <m/>
    <x v="1"/>
    <m/>
    <s v="24/25"/>
    <s v="EGRESOS"/>
    <s v="EFECTIVO Y OTROS ACT LÍQ EQ."/>
  </r>
  <r>
    <x v="6"/>
    <d v="2025-07-07T00:00:00"/>
    <s v="TRANSFER. CASH MISMA TITULARIDAD"/>
    <m/>
    <n v="0"/>
    <n v="60000000"/>
    <n v="60000000"/>
    <n v="60030399.340000004"/>
    <n v="1140"/>
    <n v="0"/>
    <n v="52631.57894736842"/>
    <s v="ARS"/>
    <s v="CC"/>
    <s v="GALICIA"/>
    <x v="0"/>
    <x v="0"/>
    <x v="0"/>
    <s v="DESDE CC MACRO"/>
    <m/>
    <m/>
    <x v="0"/>
    <m/>
    <m/>
    <m/>
    <m/>
  </r>
  <r>
    <x v="6"/>
    <d v="2025-07-07T00:00:00"/>
    <s v="TRF INMED PROVEED"/>
    <m/>
    <n v="60000000"/>
    <n v="0"/>
    <n v="-60000000"/>
    <n v="30399.34"/>
    <n v="1140"/>
    <n v="52631.57894736842"/>
    <n v="0"/>
    <s v="ARS"/>
    <s v="CC"/>
    <s v="GALICIA"/>
    <x v="5"/>
    <x v="17"/>
    <x v="41"/>
    <m/>
    <s v="COLOMBO&amp;COLOMBO"/>
    <m/>
    <x v="18"/>
    <m/>
    <s v="24/25"/>
    <s v="EGRESOS"/>
    <s v="EFECTIVO Y OTROS ACT LÍQ EQ."/>
  </r>
  <r>
    <x v="6"/>
    <d v="2025-07-07T00:00:00"/>
    <s v="IMP. DEB. LEY 25413 GRAL."/>
    <m/>
    <n v="360000"/>
    <n v="0"/>
    <n v="-360000"/>
    <n v="-329600.65999999997"/>
    <n v="1140"/>
    <n v="315.78947368421052"/>
    <n v="0"/>
    <s v="ARS"/>
    <s v="CC"/>
    <s v="GALICIA"/>
    <x v="1"/>
    <x v="1"/>
    <x v="1"/>
    <s v="TASA GRAL"/>
    <m/>
    <m/>
    <x v="1"/>
    <m/>
    <s v="24/25"/>
    <s v="EGRESOS"/>
    <s v="EFECTIVO Y OTROS ACT LÍQ EQ."/>
  </r>
  <r>
    <x v="6"/>
    <d v="2025-07-11T00:00:00"/>
    <s v="CHEQUE 48 HS. "/>
    <s v="N68698144"/>
    <n v="1253833.94"/>
    <n v="0"/>
    <n v="-1253833.94"/>
    <n v="-1583434.6"/>
    <n v="1140"/>
    <n v="1099.8543333333332"/>
    <n v="0"/>
    <s v="ARS"/>
    <s v="CC"/>
    <s v="GALICIA"/>
    <x v="2"/>
    <x v="15"/>
    <x v="25"/>
    <s v="SEMILLAS"/>
    <s v="PALO VERDE"/>
    <s v="FA 9152"/>
    <x v="6"/>
    <m/>
    <s v="23/24"/>
    <s v="BIENES Y SERVICIOS"/>
    <s v="EFECTIVO Y OTROS ACT LÍQ EQ."/>
  </r>
  <r>
    <x v="6"/>
    <d v="2025-07-11T00:00:00"/>
    <s v="IMP. DEB. LEY 25413 GRAL."/>
    <m/>
    <n v="7523"/>
    <n v="0"/>
    <n v="-7523"/>
    <n v="-1590957.6"/>
    <n v="1140"/>
    <n v="6.5991228070175438"/>
    <n v="0"/>
    <s v="ARS"/>
    <s v="CC"/>
    <s v="GALICIA"/>
    <x v="1"/>
    <x v="1"/>
    <x v="1"/>
    <s v="TASA GRAL"/>
    <m/>
    <m/>
    <x v="1"/>
    <m/>
    <s v="24/25"/>
    <s v="EGRESOS"/>
    <s v="EFECTIVO Y OTROS ACT LÍQ EQ."/>
  </r>
  <r>
    <x v="6"/>
    <d v="2025-07-15T00:00:00"/>
    <s v="TRANSFER. CASH MISMA TITULARIDAD"/>
    <m/>
    <n v="0"/>
    <n v="25000000"/>
    <n v="25000000"/>
    <n v="23409042.399999999"/>
    <n v="1140"/>
    <n v="0"/>
    <n v="21929.824561403508"/>
    <s v="ARS"/>
    <s v="CC"/>
    <s v="GALICIA"/>
    <x v="0"/>
    <x v="0"/>
    <x v="0"/>
    <s v="DESDE CC MACRO"/>
    <m/>
    <m/>
    <x v="0"/>
    <m/>
    <m/>
    <m/>
    <m/>
  </r>
  <r>
    <x v="6"/>
    <d v="2025-07-15T00:00:00"/>
    <s v="TRF INMED PROVEED"/>
    <m/>
    <n v="23285264.399999999"/>
    <n v="0"/>
    <n v="-23285264.399999999"/>
    <n v="123778"/>
    <n v="1140"/>
    <n v="20425.670526315789"/>
    <n v="0"/>
    <s v="ARS"/>
    <s v="CC"/>
    <s v="GALICIA"/>
    <x v="5"/>
    <x v="17"/>
    <x v="41"/>
    <m/>
    <s v="COLOMBO&amp;COLOMBO"/>
    <m/>
    <x v="18"/>
    <m/>
    <s v="24/25"/>
    <s v="EGRESOS"/>
    <s v="EFECTIVO Y OTROS ACT LÍQ EQ."/>
  </r>
  <r>
    <x v="6"/>
    <d v="2025-07-15T00:00:00"/>
    <s v="IMP. DEB. LEY 25413 GRAL."/>
    <m/>
    <n v="139711.59"/>
    <n v="0"/>
    <n v="-139711.59"/>
    <n v="-15933.59"/>
    <n v="1140"/>
    <n v="122.55402631578947"/>
    <n v="0"/>
    <s v="ARS"/>
    <s v="CC"/>
    <s v="GALICIA"/>
    <x v="1"/>
    <x v="1"/>
    <x v="1"/>
    <s v="TASA GRAL"/>
    <m/>
    <m/>
    <x v="1"/>
    <m/>
    <s v="24/25"/>
    <s v="EGRESOS"/>
    <s v="EFECTIVO Y OTROS ACT LÍQ EQ."/>
  </r>
  <r>
    <x v="6"/>
    <d v="2025-07-23T00:00:00"/>
    <s v="ECHEQ 48 HS. "/>
    <s v="N120"/>
    <n v="4000000"/>
    <n v="0"/>
    <n v="-4000000"/>
    <n v="-4015933.59"/>
    <n v="1140"/>
    <n v="3508.7719298245615"/>
    <n v="0"/>
    <s v="ARS"/>
    <s v="CC"/>
    <s v="GALICIA"/>
    <x v="2"/>
    <x v="4"/>
    <x v="27"/>
    <s v="PICADO"/>
    <s v="MARGARIA"/>
    <s v="FA 931"/>
    <x v="6"/>
    <m/>
    <s v="24/25"/>
    <s v="BIENES Y SERVICIOS"/>
    <s v="EFECTIVO Y OTROS ACT LÍQ EQ."/>
  </r>
  <r>
    <x v="6"/>
    <d v="2025-07-23T00:00:00"/>
    <s v="TRANSFER. CASH MISMA TITULARIDAD"/>
    <m/>
    <n v="0"/>
    <n v="4100000"/>
    <n v="4100000"/>
    <n v="84066.41"/>
    <n v="1140"/>
    <n v="0"/>
    <n v="3596.4912280701756"/>
    <s v="ARS"/>
    <s v="CC"/>
    <s v="GALICIA"/>
    <x v="0"/>
    <x v="0"/>
    <x v="0"/>
    <s v="DESDE CC MACRO"/>
    <m/>
    <m/>
    <x v="0"/>
    <m/>
    <m/>
    <m/>
    <m/>
  </r>
  <r>
    <x v="6"/>
    <d v="2025-07-23T00:00:00"/>
    <s v="IMP. DEB. LEY 25413 GRAL."/>
    <m/>
    <n v="24000"/>
    <n v="0"/>
    <n v="-24000"/>
    <n v="60066.41"/>
    <n v="1140"/>
    <n v="21.05263157894737"/>
    <n v="0"/>
    <s v="ARS"/>
    <s v="CC"/>
    <s v="GALICIA"/>
    <x v="1"/>
    <x v="1"/>
    <x v="1"/>
    <s v="TASA GRAL"/>
    <m/>
    <m/>
    <x v="1"/>
    <m/>
    <s v="24/25"/>
    <s v="EGRESOS"/>
    <s v="EFECTIVO Y OTROS ACT LÍQ EQ."/>
  </r>
  <r>
    <x v="6"/>
    <d v="2025-07-25T00:00:00"/>
    <s v="ECHEQ 48 HS. "/>
    <s v="N121"/>
    <n v="4184079.33"/>
    <n v="0"/>
    <n v="-4184079.33"/>
    <n v="-4124012.92"/>
    <n v="1290"/>
    <n v="3243.4723488372092"/>
    <n v="0"/>
    <s v="ARS"/>
    <s v="CC"/>
    <s v="GALICIA"/>
    <x v="2"/>
    <x v="4"/>
    <x v="27"/>
    <s v="PICADO"/>
    <s v="MARGARIA"/>
    <s v="FA 931"/>
    <x v="6"/>
    <m/>
    <s v="24/25"/>
    <s v="BIENES Y SERVICIOS"/>
    <s v="EFECTIVO Y OTROS ACT LÍQ EQ."/>
  </r>
  <r>
    <x v="6"/>
    <d v="2025-07-25T00:00:00"/>
    <s v="TRANSFER. CASH MISMA TITULARIDAD"/>
    <m/>
    <n v="0"/>
    <n v="4200000"/>
    <n v="4200000"/>
    <n v="75987.08"/>
    <n v="1290"/>
    <n v="0"/>
    <n v="3255.8139534883721"/>
    <s v="ARS"/>
    <s v="CC"/>
    <s v="GALICIA"/>
    <x v="0"/>
    <x v="0"/>
    <x v="0"/>
    <s v="DESDE CC MACRO"/>
    <m/>
    <m/>
    <x v="0"/>
    <m/>
    <m/>
    <m/>
    <m/>
  </r>
  <r>
    <x v="6"/>
    <d v="2025-07-25T00:00:00"/>
    <s v="IMP. DEB. LEY 25413 GRAL."/>
    <m/>
    <n v="25104.48"/>
    <n v="0"/>
    <n v="-25104.48"/>
    <n v="50882.6"/>
    <n v="1290"/>
    <n v="19.460837209302326"/>
    <n v="0"/>
    <s v="ARS"/>
    <s v="CC"/>
    <s v="GALICIA"/>
    <x v="1"/>
    <x v="1"/>
    <x v="1"/>
    <s v="TASA GRAL"/>
    <m/>
    <m/>
    <x v="1"/>
    <m/>
    <s v="24/25"/>
    <s v="EGRESOS"/>
    <s v="EFECTIVO Y OTROS ACT LÍQ EQ."/>
  </r>
  <r>
    <x v="6"/>
    <d v="2025-07-29T00:00:00"/>
    <s v="TRANSFER. CASH MISMA TITULARIDAD"/>
    <m/>
    <n v="4000000"/>
    <n v="0"/>
    <n v="-4000000"/>
    <n v="-3949117.4"/>
    <n v="1290"/>
    <n v="3100.7751937984494"/>
    <n v="0"/>
    <s v="ARS"/>
    <s v="CC"/>
    <s v="GALICIA"/>
    <x v="0"/>
    <x v="0"/>
    <x v="0"/>
    <s v="HACIA CC MACRO"/>
    <m/>
    <m/>
    <x v="0"/>
    <m/>
    <m/>
    <m/>
    <m/>
  </r>
  <r>
    <x v="6"/>
    <d v="2025-07-30T00:00:00"/>
    <s v="TRANSF INMED CP"/>
    <m/>
    <n v="1500000"/>
    <n v="0"/>
    <n v="-1500000"/>
    <n v="-5449117.4000000004"/>
    <n v="1290"/>
    <n v="1162.7906976744187"/>
    <n v="0"/>
    <s v="ARS"/>
    <s v="CC"/>
    <s v="GALICIA"/>
    <x v="0"/>
    <x v="0"/>
    <x v="0"/>
    <s v="HACIA CC MACRO"/>
    <m/>
    <m/>
    <x v="0"/>
    <m/>
    <m/>
    <m/>
    <m/>
  </r>
  <r>
    <x v="0"/>
    <d v="2025-01-03T00:00:00"/>
    <s v="TEF DATANET PAGOS AFIP"/>
    <m/>
    <n v="655747.89"/>
    <n v="0"/>
    <n v="-655747.89"/>
    <n v="-655747.89"/>
    <n v="1140"/>
    <n v="575.21744736842106"/>
    <n v="0"/>
    <s v="ARS"/>
    <s v="CA"/>
    <s v="MACRO"/>
    <x v="1"/>
    <x v="3"/>
    <x v="3"/>
    <s v="F931 DIC 24"/>
    <s v="ANDRES TOLEDO"/>
    <m/>
    <x v="3"/>
    <m/>
    <s v="24/25"/>
    <s v="EGRESOS"/>
    <s v="EFECTIVO Y OTROS ACT LÍQ EQ."/>
  </r>
  <r>
    <x v="0"/>
    <d v="2025-01-03T00:00:00"/>
    <s v="DBCR 25413 S/CR TASA GRAL"/>
    <m/>
    <n v="3934.49"/>
    <n v="0"/>
    <n v="-3934.49"/>
    <n v="-659682.38"/>
    <n v="1140"/>
    <n v="3.4513070175438596"/>
    <n v="0"/>
    <s v="ARS"/>
    <s v="CA"/>
    <s v="MACRO"/>
    <x v="1"/>
    <x v="1"/>
    <x v="1"/>
    <s v="TASA GRAL"/>
    <m/>
    <m/>
    <x v="1"/>
    <m/>
    <s v="24/25"/>
    <s v="EGRESOS"/>
    <s v="EFECTIVO Y OTROS ACT LÍQ EQ."/>
  </r>
  <r>
    <x v="0"/>
    <d v="2025-01-03T00:00:00"/>
    <s v="CR TRANSF AUT SDO MISMO TIT"/>
    <m/>
    <n v="0"/>
    <n v="659682.38"/>
    <n v="659682.38"/>
    <n v="0"/>
    <n v="1140"/>
    <n v="0"/>
    <n v="578.66875438596492"/>
    <s v="ARS"/>
    <s v="CA"/>
    <s v="MACRO"/>
    <x v="0"/>
    <x v="0"/>
    <x v="0"/>
    <s v="DESDE CC MACRO"/>
    <m/>
    <m/>
    <x v="0"/>
    <m/>
    <s v="24/25"/>
    <m/>
    <m/>
  </r>
  <r>
    <x v="0"/>
    <d v="2025-01-08T00:00:00"/>
    <s v="DEBITO FISCAL IVA BASICO"/>
    <m/>
    <n v="840"/>
    <n v="0"/>
    <n v="-840"/>
    <n v="-840"/>
    <n v="1140"/>
    <n v="0.73684210526315785"/>
    <n v="0"/>
    <s v="ARS"/>
    <s v="CA"/>
    <s v="MACRO"/>
    <x v="1"/>
    <x v="1"/>
    <x v="1"/>
    <s v="DEBITO IVA FISCAL"/>
    <m/>
    <m/>
    <x v="1"/>
    <m/>
    <s v="24/25"/>
    <s v="EGRESOS"/>
    <s v="EFECTIVO Y OTROS ACT LÍQ EQ."/>
  </r>
  <r>
    <x v="0"/>
    <d v="2025-01-08T00:00:00"/>
    <s v="DEBITO FISCAL IVA PERCEPCION"/>
    <m/>
    <n v="120"/>
    <n v="0"/>
    <n v="-120"/>
    <n v="-960"/>
    <n v="1140"/>
    <n v="0.10526315789473684"/>
    <n v="0"/>
    <s v="ARS"/>
    <s v="CA"/>
    <s v="MACRO"/>
    <x v="1"/>
    <x v="1"/>
    <x v="1"/>
    <s v="IVA PERCEPCION"/>
    <m/>
    <m/>
    <x v="1"/>
    <m/>
    <s v="24/25"/>
    <s v="EGRESOS"/>
    <s v="EFECTIVO Y OTROS ACT LÍQ EQ."/>
  </r>
  <r>
    <x v="0"/>
    <d v="2025-01-08T00:00:00"/>
    <s v="COM RETIRO EFECTIVO POR CAJA"/>
    <m/>
    <n v="4000"/>
    <n v="0"/>
    <n v="-4000"/>
    <n v="-4960"/>
    <n v="1140"/>
    <n v="3.5087719298245612"/>
    <n v="0"/>
    <s v="ARS"/>
    <s v="CA"/>
    <s v="MACRO"/>
    <x v="1"/>
    <x v="7"/>
    <x v="9"/>
    <s v="RETIRO CAJA"/>
    <m/>
    <m/>
    <x v="1"/>
    <m/>
    <s v="24/25"/>
    <s v="EGRESOS"/>
    <s v="EFECTIVO Y OTROS ACT LÍQ EQ."/>
  </r>
  <r>
    <x v="0"/>
    <d v="2025-01-08T00:00:00"/>
    <s v="DBCR 25413 S/CR TASA GRAL"/>
    <m/>
    <n v="29.76"/>
    <n v="0"/>
    <n v="-29.76"/>
    <n v="-4989.76"/>
    <n v="1140"/>
    <n v="2.6105263157894739E-2"/>
    <n v="0"/>
    <s v="ARS"/>
    <s v="CA"/>
    <s v="MACRO"/>
    <x v="1"/>
    <x v="1"/>
    <x v="1"/>
    <s v="TASA GRAL"/>
    <m/>
    <m/>
    <x v="1"/>
    <m/>
    <s v="24/25"/>
    <s v="EGRESOS"/>
    <s v="EFECTIVO Y OTROS ACT LÍQ EQ."/>
  </r>
  <r>
    <x v="0"/>
    <d v="2025-01-08T00:00:00"/>
    <s v="CR TRANSF AUT SDO MISMO TIT"/>
    <m/>
    <n v="0"/>
    <n v="4989.76"/>
    <n v="4989.76"/>
    <n v="0"/>
    <n v="1140"/>
    <n v="0"/>
    <n v="4.3769824561403512"/>
    <s v="ARS"/>
    <s v="CA"/>
    <s v="MACRO"/>
    <x v="0"/>
    <x v="0"/>
    <x v="0"/>
    <s v="DESDE CC MACRO"/>
    <m/>
    <m/>
    <x v="0"/>
    <m/>
    <s v="24/25"/>
    <m/>
    <m/>
  </r>
  <r>
    <x v="0"/>
    <d v="2025-01-30T00:00:00"/>
    <s v="DEBITO FISCAL IVA BASICO"/>
    <m/>
    <n v="7602"/>
    <n v="0"/>
    <n v="-7602"/>
    <n v="-7602"/>
    <n v="1140"/>
    <n v="6.6684210526315786"/>
    <n v="0"/>
    <s v="ARS"/>
    <s v="CA"/>
    <s v="MACRO"/>
    <x v="1"/>
    <x v="1"/>
    <x v="1"/>
    <s v="DEBITO IVA FISCAL"/>
    <m/>
    <m/>
    <x v="1"/>
    <m/>
    <s v="24/25"/>
    <s v="EGRESOS"/>
    <s v="EFECTIVO Y OTROS ACT LÍQ EQ."/>
  </r>
  <r>
    <x v="0"/>
    <d v="2025-01-30T00:00:00"/>
    <s v="DEBITO FISCAL IVA PERCEPCION"/>
    <m/>
    <n v="1086"/>
    <n v="0"/>
    <n v="-1086"/>
    <n v="-8688"/>
    <n v="1140"/>
    <n v="0.95263157894736838"/>
    <n v="0"/>
    <s v="ARS"/>
    <s v="CA"/>
    <s v="MACRO"/>
    <x v="1"/>
    <x v="1"/>
    <x v="1"/>
    <s v="IVA PERCEPCION"/>
    <m/>
    <m/>
    <x v="1"/>
    <m/>
    <s v="24/25"/>
    <s v="EGRESOS"/>
    <s v="EFECTIVO Y OTROS ACT LÍQ EQ."/>
  </r>
  <r>
    <x v="0"/>
    <d v="2025-01-30T00:00:00"/>
    <s v="MANTENIMIENTO MENSUAL PAQUETE"/>
    <m/>
    <n v="36200"/>
    <n v="0"/>
    <n v="-36200"/>
    <n v="-44888"/>
    <n v="1140"/>
    <n v="31.754385964912281"/>
    <n v="0"/>
    <s v="ARS"/>
    <s v="CA"/>
    <s v="MACRO"/>
    <x v="1"/>
    <x v="7"/>
    <x v="9"/>
    <s v="MANTENIMIENTO"/>
    <m/>
    <m/>
    <x v="1"/>
    <m/>
    <s v="24/25"/>
    <s v="EGRESOS"/>
    <s v="EFECTIVO Y OTROS ACT LÍQ EQ."/>
  </r>
  <r>
    <x v="0"/>
    <d v="2025-01-30T00:00:00"/>
    <s v="DBCR 25413 S/CR TASA GRAL"/>
    <m/>
    <n v="269.33"/>
    <n v="0"/>
    <n v="-269.33"/>
    <n v="-45157.33"/>
    <n v="1140"/>
    <n v="0.23625438596491227"/>
    <n v="0"/>
    <s v="ARS"/>
    <s v="CA"/>
    <s v="MACRO"/>
    <x v="1"/>
    <x v="1"/>
    <x v="1"/>
    <s v="TASA GRAL"/>
    <m/>
    <m/>
    <x v="1"/>
    <m/>
    <s v="24/25"/>
    <s v="EGRESOS"/>
    <s v="EFECTIVO Y OTROS ACT LÍQ EQ."/>
  </r>
  <r>
    <x v="0"/>
    <d v="2025-01-30T00:00:00"/>
    <s v="CR TRANSF AUT SDO MISMO TIT"/>
    <m/>
    <n v="0"/>
    <n v="45157.33"/>
    <n v="45157.33"/>
    <n v="0"/>
    <n v="1140"/>
    <n v="0"/>
    <n v="39.611692982456141"/>
    <s v="ARS"/>
    <s v="CA"/>
    <s v="MACRO"/>
    <x v="0"/>
    <x v="0"/>
    <x v="0"/>
    <s v="DESDE CC"/>
    <m/>
    <m/>
    <x v="0"/>
    <m/>
    <s v="24/25"/>
    <m/>
    <m/>
  </r>
  <r>
    <x v="1"/>
    <d v="2025-02-07T00:00:00"/>
    <s v="TEF DATANET PAGOS AFIP"/>
    <m/>
    <n v="968062.66"/>
    <n v="0"/>
    <n v="-968062.66"/>
    <n v="-968062.66"/>
    <n v="1140"/>
    <n v="849.17777192982464"/>
    <n v="0"/>
    <s v="ARS"/>
    <s v="CA"/>
    <s v="MACRO"/>
    <x v="1"/>
    <x v="3"/>
    <x v="3"/>
    <s v="F931 ENE 25"/>
    <s v="ANDRES TOLEDO"/>
    <m/>
    <x v="3"/>
    <m/>
    <s v="24/25"/>
    <s v="EGRESOS"/>
    <s v="EFECTIVO Y OTROS ACT LÍQ EQ."/>
  </r>
  <r>
    <x v="1"/>
    <d v="2025-02-07T00:00:00"/>
    <s v="DBCR 25413 S/CR TASA GRAL"/>
    <m/>
    <n v="5808.38"/>
    <n v="0"/>
    <n v="-5808.38"/>
    <n v="-973871.04"/>
    <n v="1140"/>
    <n v="5.0950701754385967"/>
    <n v="0"/>
    <s v="ARS"/>
    <s v="CA"/>
    <s v="MACRO"/>
    <x v="1"/>
    <x v="1"/>
    <x v="1"/>
    <s v="TASA GRAL"/>
    <m/>
    <m/>
    <x v="1"/>
    <m/>
    <s v="24/25"/>
    <s v="EGRESOS"/>
    <s v="EFECTIVO Y OTROS ACT LÍQ EQ."/>
  </r>
  <r>
    <x v="1"/>
    <d v="2025-02-07T00:00:00"/>
    <s v="CR TRANSF AUT SDO MISMO TIT"/>
    <m/>
    <n v="0"/>
    <n v="973871.04"/>
    <n v="973871.04"/>
    <n v="0"/>
    <n v="1140"/>
    <n v="0"/>
    <n v="854.27284210526318"/>
    <s v="ARS"/>
    <s v="CA"/>
    <s v="MACRO"/>
    <x v="0"/>
    <x v="0"/>
    <x v="0"/>
    <s v="HACIA LA CC"/>
    <m/>
    <m/>
    <x v="0"/>
    <m/>
    <s v="24/25"/>
    <m/>
    <m/>
  </r>
  <r>
    <x v="1"/>
    <d v="2025-02-27T00:00:00"/>
    <s v="DEBITO FISCAL IVA BASICO"/>
    <m/>
    <n v="8757"/>
    <n v="0"/>
    <n v="-8757"/>
    <n v="-8757"/>
    <n v="1140"/>
    <n v="7.6815789473684211"/>
    <n v="0"/>
    <s v="ARS"/>
    <s v="CA"/>
    <s v="MACRO"/>
    <x v="1"/>
    <x v="1"/>
    <x v="1"/>
    <s v="DEBITO IVA FISCAL"/>
    <m/>
    <m/>
    <x v="1"/>
    <m/>
    <s v="24/25"/>
    <s v="EGRESOS"/>
    <s v="EFECTIVO Y OTROS ACT LÍQ EQ."/>
  </r>
  <r>
    <x v="1"/>
    <d v="2025-02-27T00:00:00"/>
    <s v="DEBITO FISCAL IVA PERCEPCION"/>
    <m/>
    <n v="1251"/>
    <n v="0"/>
    <n v="-1251"/>
    <n v="-10008"/>
    <n v="1140"/>
    <n v="1.0973684210526315"/>
    <n v="0"/>
    <s v="ARS"/>
    <s v="CA"/>
    <s v="MACRO"/>
    <x v="1"/>
    <x v="1"/>
    <x v="1"/>
    <s v="IVA PERCEPCION"/>
    <m/>
    <m/>
    <x v="1"/>
    <m/>
    <s v="24/25"/>
    <s v="EGRESOS"/>
    <s v="EFECTIVO Y OTROS ACT LÍQ EQ."/>
  </r>
  <r>
    <x v="1"/>
    <d v="2025-02-27T00:00:00"/>
    <s v="MANTENIMIENTO MENSUAL PAQUETE"/>
    <m/>
    <n v="41700"/>
    <n v="0"/>
    <n v="-41700"/>
    <n v="-51708"/>
    <n v="1140"/>
    <n v="36.578947368421055"/>
    <n v="0"/>
    <s v="ARS"/>
    <s v="CA"/>
    <s v="MACRO"/>
    <x v="1"/>
    <x v="7"/>
    <x v="9"/>
    <m/>
    <m/>
    <m/>
    <x v="1"/>
    <m/>
    <s v="24/25"/>
    <s v="EGRESOS"/>
    <s v="EFECTIVO Y OTROS ACT LÍQ EQ."/>
  </r>
  <r>
    <x v="1"/>
    <d v="2025-02-27T00:00:00"/>
    <s v="DBCR 25413 S/CR TASA GRAL"/>
    <m/>
    <n v="310.25"/>
    <n v="0"/>
    <n v="-310.25"/>
    <n v="-52018.25"/>
    <n v="1140"/>
    <n v="0.27214912280701753"/>
    <n v="0"/>
    <s v="ARS"/>
    <s v="CA"/>
    <s v="MACRO"/>
    <x v="1"/>
    <x v="1"/>
    <x v="1"/>
    <s v="TASA GRAL"/>
    <m/>
    <m/>
    <x v="1"/>
    <m/>
    <s v="24/25"/>
    <s v="EGRESOS"/>
    <s v="EFECTIVO Y OTROS ACT LÍQ EQ."/>
  </r>
  <r>
    <x v="1"/>
    <d v="2025-02-27T00:00:00"/>
    <s v="CR TRANSF AUT SDO MISMO TIT"/>
    <m/>
    <n v="0"/>
    <n v="52018.25"/>
    <n v="52018.25"/>
    <n v="0"/>
    <n v="1140"/>
    <n v="0"/>
    <n v="45.63004385964912"/>
    <s v="ARS"/>
    <s v="CA"/>
    <s v="MACRO"/>
    <x v="0"/>
    <x v="0"/>
    <x v="0"/>
    <s v="DESDE CC MACRO"/>
    <m/>
    <m/>
    <x v="0"/>
    <m/>
    <s v="24/25"/>
    <m/>
    <m/>
  </r>
  <r>
    <x v="2"/>
    <d v="2025-03-21T00:00:00"/>
    <s v="TEF DATANET PAGOS AFIP"/>
    <m/>
    <n v="803254.45"/>
    <n v="0"/>
    <n v="-803254.45"/>
    <n v="-803254.45"/>
    <n v="1140"/>
    <n v="704.60916666666662"/>
    <n v="0"/>
    <s v="ARS"/>
    <s v="CA"/>
    <s v="MACRO"/>
    <x v="1"/>
    <x v="3"/>
    <x v="3"/>
    <s v="F931 OCTUBRE 24"/>
    <s v="ANDRES TOLEDO"/>
    <m/>
    <x v="3"/>
    <m/>
    <s v="24/25"/>
    <s v="EGRESOS"/>
    <s v="EFECTIVO Y OTROS ACT LÍQ EQ."/>
  </r>
  <r>
    <x v="2"/>
    <d v="2025-03-21T00:00:00"/>
    <s v="TEF DATANET PAGOS AFIP"/>
    <m/>
    <n v="828399.51"/>
    <n v="0"/>
    <n v="-828399.51"/>
    <n v="-1631653.96"/>
    <n v="1140"/>
    <n v="726.66623684210526"/>
    <n v="0"/>
    <s v="ARS"/>
    <s v="CA"/>
    <s v="MACRO"/>
    <x v="1"/>
    <x v="3"/>
    <x v="3"/>
    <s v="F931 AGOSTO 24"/>
    <s v="ANDRES TOLEDO"/>
    <m/>
    <x v="3"/>
    <m/>
    <s v="24/25"/>
    <s v="EGRESOS"/>
    <s v="EFECTIVO Y OTROS ACT LÍQ EQ."/>
  </r>
  <r>
    <x v="2"/>
    <d v="2025-03-21T00:00:00"/>
    <s v="DBCR 25413 S/CR TASA GRAL"/>
    <m/>
    <n v="4819.53"/>
    <n v="0"/>
    <n v="-4819.53"/>
    <n v="-1636473.49"/>
    <n v="1140"/>
    <n v="4.2276578947368417"/>
    <n v="0"/>
    <s v="ARS"/>
    <s v="CA"/>
    <s v="MACRO"/>
    <x v="1"/>
    <x v="1"/>
    <x v="1"/>
    <s v="TASA GRAL"/>
    <m/>
    <m/>
    <x v="1"/>
    <m/>
    <s v="24/25"/>
    <s v="EGRESOS"/>
    <s v="EFECTIVO Y OTROS ACT LÍQ EQ."/>
  </r>
  <r>
    <x v="2"/>
    <d v="2025-03-21T00:00:00"/>
    <s v="DBCR 25413 S/CR TASA GRAL"/>
    <m/>
    <n v="4970.3999999999996"/>
    <n v="0"/>
    <n v="-4970.3999999999996"/>
    <n v="-1641443.89"/>
    <n v="1140"/>
    <n v="4.3599999999999994"/>
    <n v="0"/>
    <s v="ARS"/>
    <s v="CA"/>
    <s v="MACRO"/>
    <x v="1"/>
    <x v="1"/>
    <x v="1"/>
    <s v="TASA GRAL"/>
    <m/>
    <m/>
    <x v="1"/>
    <m/>
    <s v="24/25"/>
    <s v="EGRESOS"/>
    <s v="EFECTIVO Y OTROS ACT LÍQ EQ."/>
  </r>
  <r>
    <x v="2"/>
    <d v="2025-03-21T00:00:00"/>
    <s v="CR TRANSF AUT SDO MISMO TIT"/>
    <m/>
    <n v="0"/>
    <n v="1641443.89"/>
    <n v="1641443.89"/>
    <n v="0"/>
    <n v="1140"/>
    <n v="0"/>
    <n v="1439.8630614035087"/>
    <s v="ARS"/>
    <s v="CA"/>
    <s v="MACRO"/>
    <x v="0"/>
    <x v="0"/>
    <x v="0"/>
    <s v="DESDE EL MACRO"/>
    <m/>
    <m/>
    <x v="0"/>
    <m/>
    <s v="24/25"/>
    <m/>
    <m/>
  </r>
  <r>
    <x v="2"/>
    <d v="2025-03-28T00:00:00"/>
    <s v="DEBITO FISCAL IVA BASICO"/>
    <m/>
    <n v="8757"/>
    <n v="0"/>
    <n v="-8757"/>
    <n v="-8757"/>
    <n v="1140"/>
    <n v="7.6815789473684211"/>
    <n v="0"/>
    <s v="ARS"/>
    <s v="CA"/>
    <s v="MACRO"/>
    <x v="1"/>
    <x v="1"/>
    <x v="1"/>
    <s v="TASA GRAL"/>
    <m/>
    <m/>
    <x v="1"/>
    <m/>
    <s v="24/25"/>
    <s v="EGRESOS"/>
    <s v="EFECTIVO Y OTROS ACT LÍQ EQ."/>
  </r>
  <r>
    <x v="2"/>
    <d v="2025-03-28T00:00:00"/>
    <s v="DEBITO FISCAL IVA PERCEPCION"/>
    <m/>
    <n v="1251"/>
    <n v="0"/>
    <n v="-1251"/>
    <n v="-10008"/>
    <n v="1140"/>
    <n v="1.0973684210526315"/>
    <n v="0"/>
    <s v="ARS"/>
    <s v="CA"/>
    <s v="MACRO"/>
    <x v="1"/>
    <x v="1"/>
    <x v="1"/>
    <s v="TASA GRAL"/>
    <m/>
    <m/>
    <x v="1"/>
    <m/>
    <s v="24/25"/>
    <s v="EGRESOS"/>
    <s v="EFECTIVO Y OTROS ACT LÍQ EQ."/>
  </r>
  <r>
    <x v="2"/>
    <d v="2025-03-28T00:00:00"/>
    <s v="MANTENIMIENTO MENSUAL PAQUETE"/>
    <m/>
    <n v="41700"/>
    <n v="0"/>
    <n v="-41700"/>
    <n v="-51708"/>
    <n v="1140"/>
    <n v="36.578947368421055"/>
    <n v="0"/>
    <s v="ARS"/>
    <s v="CA"/>
    <s v="MACRO"/>
    <x v="1"/>
    <x v="7"/>
    <x v="9"/>
    <s v="MANTENIMIENTO"/>
    <m/>
    <m/>
    <x v="1"/>
    <m/>
    <s v="24/25"/>
    <s v="EGRESOS"/>
    <s v="EFECTIVO Y OTROS ACT LÍQ EQ."/>
  </r>
  <r>
    <x v="2"/>
    <d v="2025-03-28T00:00:00"/>
    <s v="CR TRANSF AUT SDO MISMO TIT"/>
    <m/>
    <n v="0"/>
    <n v="52018.25"/>
    <n v="52018.25"/>
    <n v="0"/>
    <n v="1140"/>
    <n v="0"/>
    <n v="45.63004385964912"/>
    <s v="ARS"/>
    <s v="CA"/>
    <s v="MACRO"/>
    <x v="0"/>
    <x v="0"/>
    <x v="0"/>
    <s v="HACIA CC MACRO"/>
    <m/>
    <m/>
    <x v="0"/>
    <m/>
    <s v="24/25"/>
    <m/>
    <m/>
  </r>
  <r>
    <x v="2"/>
    <d v="2025-03-28T00:00:00"/>
    <s v="DBCR 25413 S/CR TASA GRAL"/>
    <m/>
    <n v="310.25"/>
    <n v="0"/>
    <n v="-310.25"/>
    <n v="0"/>
    <n v="1140"/>
    <n v="0.27214912280701753"/>
    <n v="0"/>
    <s v="ARS"/>
    <s v="CA"/>
    <s v="MACRO"/>
    <x v="1"/>
    <x v="1"/>
    <x v="1"/>
    <s v="TASA GRAL"/>
    <m/>
    <m/>
    <x v="1"/>
    <m/>
    <s v="24/25"/>
    <s v="EGRESOS"/>
    <s v="EFECTIVO Y OTROS ACT LÍQ EQ."/>
  </r>
  <r>
    <x v="3"/>
    <d v="2025-04-29T00:00:00"/>
    <s v="CR TRANSF AUT SDO MISMO TIT"/>
    <m/>
    <n v="0"/>
    <n v="57040"/>
    <n v="57040"/>
    <n v="57040"/>
    <n v="1140"/>
    <n v="0"/>
    <n v="50.035087719298247"/>
    <s v="ARS"/>
    <s v="CA"/>
    <s v="MACRO"/>
    <x v="0"/>
    <x v="0"/>
    <x v="0"/>
    <s v="DESDE CC MACRO"/>
    <m/>
    <m/>
    <x v="0"/>
    <m/>
    <s v="24/25"/>
    <m/>
    <m/>
  </r>
  <r>
    <x v="3"/>
    <d v="2025-04-30T00:00:00"/>
    <s v="DEBITO FISCAL IVA BASICO"/>
    <m/>
    <n v="9660"/>
    <n v="0"/>
    <n v="-9660"/>
    <n v="47380"/>
    <n v="1140"/>
    <n v="8.473684210526315"/>
    <n v="0"/>
    <s v="ARS"/>
    <s v="CA"/>
    <s v="MACRO"/>
    <x v="1"/>
    <x v="1"/>
    <x v="1"/>
    <s v="TASA GRAL"/>
    <m/>
    <m/>
    <x v="1"/>
    <m/>
    <s v="24/25"/>
    <s v="EGRESOS"/>
    <s v="EFECTIVO Y OTROS ACT LÍQ EQ."/>
  </r>
  <r>
    <x v="3"/>
    <d v="2025-04-30T00:00:00"/>
    <s v="DEBITO FISCAL IVA PERCEPCION"/>
    <m/>
    <n v="1380"/>
    <n v="0"/>
    <n v="-1380"/>
    <n v="46000"/>
    <n v="1140"/>
    <n v="1.2105263157894737"/>
    <n v="0"/>
    <s v="ARS"/>
    <s v="CA"/>
    <s v="MACRO"/>
    <x v="1"/>
    <x v="1"/>
    <x v="1"/>
    <s v="TASA GRAL"/>
    <m/>
    <m/>
    <x v="1"/>
    <m/>
    <s v="24/25"/>
    <s v="EGRESOS"/>
    <s v="EFECTIVO Y OTROS ACT LÍQ EQ."/>
  </r>
  <r>
    <x v="3"/>
    <d v="2025-04-30T00:00:00"/>
    <s v="MANTENIMIENTO MENSUAL PAQUETE"/>
    <m/>
    <n v="46000"/>
    <n v="0"/>
    <n v="-46000"/>
    <n v="0"/>
    <n v="1140"/>
    <n v="40.350877192982459"/>
    <n v="0"/>
    <s v="ARS"/>
    <s v="CA"/>
    <s v="MACRO"/>
    <x v="1"/>
    <x v="7"/>
    <x v="9"/>
    <s v="MANTENIMIENTO"/>
    <m/>
    <m/>
    <x v="1"/>
    <m/>
    <s v="24/25"/>
    <s v="EGRESOS"/>
    <s v="EFECTIVO Y OTROS ACT LÍQ EQ."/>
  </r>
  <r>
    <x v="3"/>
    <d v="2025-04-30T00:00:00"/>
    <s v="CR TRANSF AUT SDO MISMO TIT"/>
    <m/>
    <n v="0"/>
    <n v="342.24"/>
    <n v="342.24"/>
    <n v="342.24"/>
    <n v="1140"/>
    <n v="0"/>
    <n v="0.30021052631578948"/>
    <s v="ARS"/>
    <s v="CA"/>
    <s v="MACRO"/>
    <x v="0"/>
    <x v="0"/>
    <x v="0"/>
    <s v="HACIA CC MACRO"/>
    <m/>
    <m/>
    <x v="0"/>
    <m/>
    <s v="24/25"/>
    <m/>
    <m/>
  </r>
  <r>
    <x v="4"/>
    <d v="2025-05-05T00:00:00"/>
    <s v="DBCR 25413 S/CR TASA GRAL"/>
    <m/>
    <n v="342.24"/>
    <n v="0"/>
    <n v="-342.24"/>
    <n v="0"/>
    <n v="1140"/>
    <n v="0.30021052631578948"/>
    <n v="0"/>
    <s v="ARS"/>
    <s v="CA"/>
    <s v="MACRO"/>
    <x v="1"/>
    <x v="1"/>
    <x v="1"/>
    <s v="TASA GRAL"/>
    <m/>
    <m/>
    <x v="1"/>
    <m/>
    <s v="24/25"/>
    <s v="EGRESOS"/>
    <s v="EFECTIVO Y OTROS ACT LÍQ EQ."/>
  </r>
  <r>
    <x v="4"/>
    <d v="2025-05-16T00:00:00"/>
    <s v="TEF DATANET PAGOS AFIP"/>
    <m/>
    <n v="949046.55"/>
    <n v="0"/>
    <n v="-949046.55"/>
    <n v="-949046.55"/>
    <n v="1140"/>
    <n v="832.49697368421062"/>
    <n v="0"/>
    <s v="ARS"/>
    <s v="CA"/>
    <s v="MACRO"/>
    <x v="1"/>
    <x v="3"/>
    <x v="3"/>
    <s v="F931 FEB 2025"/>
    <s v="ANDRES TOLEDO"/>
    <m/>
    <x v="3"/>
    <m/>
    <s v="24/25"/>
    <s v="EGRESOS"/>
    <s v="EFECTIVO Y OTROS ACT LÍQ EQ."/>
  </r>
  <r>
    <x v="4"/>
    <d v="2025-05-16T00:00:00"/>
    <s v="TEF DATANET PAGOS AFIP"/>
    <m/>
    <n v="687395.42"/>
    <n v="0"/>
    <n v="-687395.42"/>
    <n v="-1636441.97"/>
    <n v="1140"/>
    <n v="602.97843859649129"/>
    <n v="0"/>
    <s v="ARS"/>
    <s v="CA"/>
    <s v="MACRO"/>
    <x v="1"/>
    <x v="3"/>
    <x v="3"/>
    <s v="F931 MAR 2025"/>
    <s v="ANDRES TOLEDO"/>
    <m/>
    <x v="3"/>
    <m/>
    <s v="24/25"/>
    <s v="EGRESOS"/>
    <s v="EFECTIVO Y OTROS ACT LÍQ EQ."/>
  </r>
  <r>
    <x v="4"/>
    <d v="2025-05-16T00:00:00"/>
    <s v="DBCR 25413 S/CR TASA GRAL"/>
    <m/>
    <n v="5694.28"/>
    <n v="0"/>
    <n v="-5694.28"/>
    <n v="-1642136.25"/>
    <n v="1140"/>
    <n v="4.9949824561403506"/>
    <n v="0"/>
    <s v="ARS"/>
    <s v="CA"/>
    <s v="MACRO"/>
    <x v="1"/>
    <x v="1"/>
    <x v="1"/>
    <s v="TASA GRAL"/>
    <m/>
    <m/>
    <x v="1"/>
    <m/>
    <s v="24/25"/>
    <s v="EGRESOS"/>
    <s v="EFECTIVO Y OTROS ACT LÍQ EQ."/>
  </r>
  <r>
    <x v="4"/>
    <d v="2025-05-16T00:00:00"/>
    <s v="DBCR 25413 S/CR TASA GRAL"/>
    <m/>
    <n v="4124.37"/>
    <n v="0"/>
    <n v="-4124.37"/>
    <n v="-1646260.62"/>
    <n v="1140"/>
    <n v="3.6178684210526315"/>
    <n v="0"/>
    <s v="ARS"/>
    <s v="CA"/>
    <s v="MACRO"/>
    <x v="1"/>
    <x v="1"/>
    <x v="1"/>
    <s v="TASA GRAL"/>
    <m/>
    <m/>
    <x v="1"/>
    <m/>
    <s v="24/25"/>
    <s v="EGRESOS"/>
    <s v="EFECTIVO Y OTROS ACT LÍQ EQ."/>
  </r>
  <r>
    <x v="4"/>
    <d v="2025-05-16T00:00:00"/>
    <s v="CR TRANSF AUT SDO MISMO TIT"/>
    <m/>
    <n v="0"/>
    <n v="1646260.62"/>
    <n v="1646260.62"/>
    <n v="0"/>
    <n v="1140"/>
    <n v="0"/>
    <n v="1444.0882631578947"/>
    <s v="ARS"/>
    <s v="CA"/>
    <s v="MACRO"/>
    <x v="0"/>
    <x v="0"/>
    <x v="0"/>
    <s v="DESDE CC MACRO"/>
    <m/>
    <m/>
    <x v="0"/>
    <m/>
    <s v="24/25"/>
    <m/>
    <m/>
  </r>
  <r>
    <x v="4"/>
    <d v="2025-05-29T00:00:00"/>
    <s v="DEBITO FISCAL IVA BASICO"/>
    <m/>
    <n v="9660"/>
    <n v="0"/>
    <n v="-9660"/>
    <n v="-9660"/>
    <n v="1141"/>
    <n v="8.4662576687116573"/>
    <n v="0"/>
    <s v="ARS"/>
    <s v="CA"/>
    <s v="MACRO"/>
    <x v="1"/>
    <x v="1"/>
    <x v="1"/>
    <s v="DEBITO IVA FISCAL"/>
    <m/>
    <m/>
    <x v="1"/>
    <m/>
    <s v="24/25"/>
    <s v="EGRESOS"/>
    <s v="EFECTIVO Y OTROS ACT LÍQ EQ."/>
  </r>
  <r>
    <x v="4"/>
    <d v="2025-05-29T00:00:00"/>
    <s v="DEBITO FISCAL IVA PERCEPCION"/>
    <m/>
    <n v="1380"/>
    <n v="0"/>
    <n v="-1380"/>
    <n v="-11040"/>
    <n v="1142"/>
    <n v="1.2084063047285465"/>
    <n v="0"/>
    <s v="ARS"/>
    <s v="CA"/>
    <s v="MACRO"/>
    <x v="1"/>
    <x v="1"/>
    <x v="1"/>
    <s v="IVA PERCEPCION"/>
    <m/>
    <m/>
    <x v="1"/>
    <m/>
    <s v="24/25"/>
    <s v="EGRESOS"/>
    <s v="EFECTIVO Y OTROS ACT LÍQ EQ."/>
  </r>
  <r>
    <x v="4"/>
    <d v="2025-05-29T00:00:00"/>
    <s v="MANTENIMIENTO MENSUAL PAQUETE"/>
    <m/>
    <n v="46000"/>
    <n v="0"/>
    <n v="-46000"/>
    <n v="-57040"/>
    <n v="1143"/>
    <n v="40.244969378827648"/>
    <n v="0"/>
    <s v="ARS"/>
    <s v="CA"/>
    <s v="MACRO"/>
    <x v="1"/>
    <x v="7"/>
    <x v="9"/>
    <s v="MANTENIMIENTO"/>
    <m/>
    <m/>
    <x v="1"/>
    <m/>
    <s v="24/25"/>
    <s v="EGRESOS"/>
    <s v="EFECTIVO Y OTROS ACT LÍQ EQ."/>
  </r>
  <r>
    <x v="4"/>
    <d v="2025-05-29T00:00:00"/>
    <s v="DBCR 25413 S/CR TASA GRAL"/>
    <m/>
    <n v="342.24"/>
    <n v="0"/>
    <n v="-342.24"/>
    <n v="-57382.239999999998"/>
    <n v="1144"/>
    <n v="0.29916083916083919"/>
    <n v="0"/>
    <s v="ARS"/>
    <s v="CA"/>
    <s v="MACRO"/>
    <x v="1"/>
    <x v="1"/>
    <x v="1"/>
    <s v="TASA GRAL"/>
    <m/>
    <m/>
    <x v="1"/>
    <m/>
    <s v="24/25"/>
    <s v="EGRESOS"/>
    <s v="EFECTIVO Y OTROS ACT LÍQ EQ."/>
  </r>
  <r>
    <x v="4"/>
    <d v="2025-05-29T00:00:00"/>
    <s v="CR TRANSF AUT SDO MISMO TIT"/>
    <m/>
    <n v="0"/>
    <n v="57382.239999999998"/>
    <n v="57382.239999999998"/>
    <n v="0"/>
    <n v="1145"/>
    <n v="0"/>
    <n v="50.11549344978166"/>
    <s v="ARS"/>
    <s v="CA"/>
    <s v="MACRO"/>
    <x v="0"/>
    <x v="0"/>
    <x v="0"/>
    <s v="DESDE CC MACRO"/>
    <m/>
    <m/>
    <x v="0"/>
    <m/>
    <s v="24/25"/>
    <m/>
    <m/>
  </r>
  <r>
    <x v="5"/>
    <d v="2025-06-27T00:00:00"/>
    <s v="DEBITO FISCAL IVA BASICO"/>
    <m/>
    <n v="9660"/>
    <n v="0"/>
    <n v="-9660"/>
    <n v="-9660"/>
    <n v="1145"/>
    <n v="8.4366812227074242"/>
    <n v="0"/>
    <s v="ARS"/>
    <s v="CA"/>
    <s v="MACRO"/>
    <x v="1"/>
    <x v="1"/>
    <x v="1"/>
    <m/>
    <m/>
    <m/>
    <x v="1"/>
    <m/>
    <s v="24/25"/>
    <s v="EGRESOS"/>
    <s v="EFECTIVO Y OTROS ACT LÍQ EQ."/>
  </r>
  <r>
    <x v="5"/>
    <d v="2025-06-27T00:00:00"/>
    <s v="DEBITO FISCAL IVA PERCEPCION"/>
    <m/>
    <n v="1380"/>
    <n v="0"/>
    <n v="-1380"/>
    <n v="-11040"/>
    <n v="1145"/>
    <n v="1.205240174672489"/>
    <n v="0"/>
    <s v="ARS"/>
    <s v="CA"/>
    <s v="MACRO"/>
    <x v="1"/>
    <x v="1"/>
    <x v="1"/>
    <m/>
    <m/>
    <m/>
    <x v="1"/>
    <m/>
    <s v="24/25"/>
    <s v="EGRESOS"/>
    <s v="EFECTIVO Y OTROS ACT LÍQ EQ."/>
  </r>
  <r>
    <x v="5"/>
    <d v="2025-06-27T00:00:00"/>
    <s v="MANTENIMIENTO MENSUAL PAQUETE"/>
    <m/>
    <n v="46000"/>
    <n v="0"/>
    <n v="-46000"/>
    <n v="-57040"/>
    <n v="1145"/>
    <n v="40.174672489082973"/>
    <n v="0"/>
    <s v="ARS"/>
    <s v="CA"/>
    <s v="MACRO"/>
    <x v="1"/>
    <x v="7"/>
    <x v="9"/>
    <s v="MANTENIMIENTO"/>
    <m/>
    <m/>
    <x v="1"/>
    <m/>
    <s v="24/25"/>
    <s v="EGRESOS"/>
    <s v="EFECTIVO Y OTROS ACT LÍQ EQ."/>
  </r>
  <r>
    <x v="5"/>
    <d v="2025-06-27T00:00:00"/>
    <s v="DBCR 25413 S/CR TASA GRAL"/>
    <m/>
    <n v="342.24"/>
    <n v="0"/>
    <n v="-342.24"/>
    <n v="-57382.239999999998"/>
    <n v="1145"/>
    <n v="0.29889956331877732"/>
    <n v="0"/>
    <s v="ARS"/>
    <s v="CA"/>
    <s v="MACRO"/>
    <x v="1"/>
    <x v="1"/>
    <x v="1"/>
    <s v="TASA GRAL"/>
    <m/>
    <m/>
    <x v="1"/>
    <m/>
    <s v="24/25"/>
    <s v="EGRESOS"/>
    <s v="EFECTIVO Y OTROS ACT LÍQ EQ."/>
  </r>
  <r>
    <x v="5"/>
    <d v="2025-06-27T00:00:00"/>
    <s v="CR TRANSF AUT SDO MISMO TIT"/>
    <m/>
    <n v="0"/>
    <n v="57382.239999999998"/>
    <n v="57382.239999999998"/>
    <n v="0"/>
    <n v="1145"/>
    <n v="0"/>
    <n v="50.11549344978166"/>
    <s v="ARS"/>
    <s v="CA"/>
    <s v="MACRO"/>
    <x v="0"/>
    <x v="0"/>
    <x v="0"/>
    <s v="DESDE CC MACRO"/>
    <m/>
    <m/>
    <x v="0"/>
    <m/>
    <s v="24/25"/>
    <m/>
    <m/>
  </r>
  <r>
    <x v="6"/>
    <d v="2025-07-01T00:00:00"/>
    <s v="TEF DATANET PAGOS AFIP"/>
    <m/>
    <n v="800143.79"/>
    <n v="0"/>
    <n v="-800143.79"/>
    <n v="-800143.79"/>
    <n v="1145"/>
    <n v="698.815537117904"/>
    <n v="0"/>
    <s v="ARS"/>
    <s v="CA"/>
    <s v="MACRO"/>
    <x v="1"/>
    <x v="3"/>
    <x v="3"/>
    <s v="F931"/>
    <s v="ANDRES TOLEDO"/>
    <m/>
    <x v="3"/>
    <m/>
    <s v="24/25"/>
    <s v="EGRESOS"/>
    <s v="EFECTIVO Y OTROS ACT LÍQ EQ."/>
  </r>
  <r>
    <x v="6"/>
    <d v="2025-07-01T00:00:00"/>
    <s v="DBCR 25413 S/DB TASA GRAL"/>
    <m/>
    <n v="4800.8599999999997"/>
    <n v="0"/>
    <n v="-4800.8599999999997"/>
    <n v="-804944.65"/>
    <n v="1145"/>
    <n v="4.1928908296943233"/>
    <n v="0"/>
    <s v="ARS"/>
    <s v="CA"/>
    <s v="MACRO"/>
    <x v="1"/>
    <x v="1"/>
    <x v="1"/>
    <s v="TASA GRAL"/>
    <m/>
    <m/>
    <x v="1"/>
    <m/>
    <s v="24/25"/>
    <s v="EGRESOS"/>
    <s v="EFECTIVO Y OTROS ACT LÍQ EQ."/>
  </r>
  <r>
    <x v="6"/>
    <d v="2025-07-01T00:00:00"/>
    <s v="CR TRANSF AUT SDO MISMO TIT"/>
    <m/>
    <n v="0"/>
    <n v="804944.65"/>
    <n v="804944.65"/>
    <n v="0"/>
    <n v="1145"/>
    <n v="0"/>
    <n v="703.00842794759831"/>
    <s v="ARS"/>
    <s v="CA"/>
    <s v="MACRO"/>
    <x v="0"/>
    <x v="0"/>
    <x v="0"/>
    <s v="DESDE CC MACRO"/>
    <m/>
    <m/>
    <x v="0"/>
    <m/>
    <s v="24/25"/>
    <m/>
    <m/>
  </r>
  <r>
    <x v="6"/>
    <d v="2025-07-18T00:00:00"/>
    <s v="TEF DATANET PAGOS AFIP"/>
    <m/>
    <n v="1288840.02"/>
    <n v="0"/>
    <n v="-1288840.02"/>
    <n v="-1288840.02"/>
    <n v="1145"/>
    <n v="1125.6244716157205"/>
    <n v="0"/>
    <s v="ARS"/>
    <s v="CA"/>
    <s v="MACRO"/>
    <x v="1"/>
    <x v="3"/>
    <x v="3"/>
    <s v="F931"/>
    <s v="ANDRES TOLEDO"/>
    <m/>
    <x v="3"/>
    <m/>
    <s v="24/25"/>
    <s v="EGRESOS"/>
    <s v="EFECTIVO Y OTROS ACT LÍQ EQ."/>
  </r>
  <r>
    <x v="6"/>
    <d v="2025-07-18T00:00:00"/>
    <s v="DBCR 25413 S/DB TASA GRAL"/>
    <m/>
    <n v="7733.04"/>
    <n v="0"/>
    <n v="-7733.04"/>
    <n v="-1296573.06"/>
    <n v="1145"/>
    <n v="6.7537467248908296"/>
    <n v="0"/>
    <s v="ARS"/>
    <s v="CA"/>
    <s v="MACRO"/>
    <x v="1"/>
    <x v="1"/>
    <x v="1"/>
    <s v="TASA GRAL"/>
    <m/>
    <m/>
    <x v="1"/>
    <m/>
    <s v="24/25"/>
    <s v="EGRESOS"/>
    <s v="EFECTIVO Y OTROS ACT LÍQ EQ."/>
  </r>
  <r>
    <x v="6"/>
    <d v="2025-07-18T00:00:00"/>
    <s v="CR TRANSF AUT SDO MISMO TIT"/>
    <m/>
    <n v="0"/>
    <n v="1296573.06"/>
    <n v="1296573.06"/>
    <n v="0"/>
    <n v="1145"/>
    <n v="0"/>
    <n v="1132.3782183406115"/>
    <s v="ARS"/>
    <s v="CA"/>
    <s v="MACRO"/>
    <x v="0"/>
    <x v="0"/>
    <x v="0"/>
    <s v="DESDE CC MACRO"/>
    <m/>
    <m/>
    <x v="0"/>
    <m/>
    <s v="24/25"/>
    <m/>
    <m/>
  </r>
  <r>
    <x v="6"/>
    <d v="2025-07-30T00:00:00"/>
    <s v="CR TRANSF AUT SDO MISMO TIT"/>
    <m/>
    <n v="0"/>
    <n v="61628"/>
    <n v="61628"/>
    <n v="61628"/>
    <n v="1290"/>
    <n v="0"/>
    <n v="47.773643410852713"/>
    <s v="ARS"/>
    <s v="CA"/>
    <s v="MACRO"/>
    <x v="0"/>
    <x v="0"/>
    <x v="0"/>
    <s v="DESDE CC MACRO"/>
    <m/>
    <m/>
    <x v="0"/>
    <m/>
    <s v="24/25"/>
    <m/>
    <m/>
  </r>
  <r>
    <x v="6"/>
    <d v="2025-07-31T00:00:00"/>
    <s v="DEBITO FISCAL IVA BASICO"/>
    <m/>
    <n v="10437"/>
    <n v="0"/>
    <n v="-10437"/>
    <n v="51191"/>
    <n v="1290"/>
    <n v="8.090697674418605"/>
    <n v="0"/>
    <s v="ARS"/>
    <s v="CA"/>
    <s v="MACRO"/>
    <x v="1"/>
    <x v="1"/>
    <x v="1"/>
    <s v="DEBITO IVA FISCAL"/>
    <m/>
    <m/>
    <x v="1"/>
    <m/>
    <s v="24/25"/>
    <s v="EGRESOS"/>
    <s v="EFECTIVO Y OTROS ACT LÍQ EQ."/>
  </r>
  <r>
    <x v="6"/>
    <d v="2025-07-31T00:00:00"/>
    <s v="DEBITO FISCAL IVA PERCEPCION"/>
    <m/>
    <n v="1491"/>
    <n v="0"/>
    <n v="-1491"/>
    <n v="49700"/>
    <n v="1290"/>
    <n v="1.155813953488372"/>
    <n v="0"/>
    <s v="ARS"/>
    <s v="CA"/>
    <s v="MACRO"/>
    <x v="1"/>
    <x v="1"/>
    <x v="1"/>
    <s v="IVA PERCEPCION"/>
    <m/>
    <m/>
    <x v="1"/>
    <m/>
    <s v="24/25"/>
    <s v="EGRESOS"/>
    <s v="EFECTIVO Y OTROS ACT LÍQ EQ."/>
  </r>
  <r>
    <x v="6"/>
    <d v="2025-07-31T00:00:00"/>
    <s v="MANTENIMIENTO MENSUAL PAQUETE"/>
    <m/>
    <n v="49700"/>
    <n v="0"/>
    <n v="-49700"/>
    <n v="0"/>
    <n v="1290"/>
    <n v="38.527131782945737"/>
    <n v="0"/>
    <s v="ARS"/>
    <s v="CA"/>
    <s v="MACRO"/>
    <x v="1"/>
    <x v="7"/>
    <x v="9"/>
    <s v="MANTENIMIENTO"/>
    <m/>
    <m/>
    <x v="1"/>
    <m/>
    <s v="24/25"/>
    <s v="EGRESOS"/>
    <s v="EFECTIVO Y OTROS ACT LÍQ EQ."/>
  </r>
  <r>
    <x v="6"/>
    <d v="2025-07-31T00:00:00"/>
    <s v="DBCR 25413 S/DB TASA GRAL"/>
    <m/>
    <n v="369.77"/>
    <n v="0"/>
    <n v="-369.77"/>
    <n v="-369.77"/>
    <n v="1290"/>
    <n v="0.28664341085271317"/>
    <n v="0"/>
    <s v="ARS"/>
    <s v="CA"/>
    <s v="MACRO"/>
    <x v="1"/>
    <x v="1"/>
    <x v="1"/>
    <s v="TASA GRAL"/>
    <m/>
    <m/>
    <x v="1"/>
    <m/>
    <s v="24/25"/>
    <s v="EGRESOS"/>
    <s v="EFECTIVO Y OTROS ACT LÍQ EQ."/>
  </r>
  <r>
    <x v="6"/>
    <d v="2025-07-31T00:00:00"/>
    <s v="CR TRANSF AUT SDO MISMO TIT"/>
    <m/>
    <n v="0"/>
    <n v="369.77"/>
    <n v="369.77"/>
    <n v="0"/>
    <n v="1290"/>
    <n v="0"/>
    <n v="0.28664341085271317"/>
    <s v="ARS"/>
    <s v="CA"/>
    <s v="MACRO"/>
    <x v="0"/>
    <x v="0"/>
    <x v="0"/>
    <s v="DESDE CC MACRO"/>
    <m/>
    <m/>
    <x v="0"/>
    <m/>
    <s v="24/25"/>
    <m/>
    <m/>
  </r>
  <r>
    <x v="0"/>
    <d v="2025-01-02T00:00:00"/>
    <s v="DEBITO FISCAL IVA BASICO"/>
    <m/>
    <n v="14008.54"/>
    <n v="0"/>
    <n v="-14008.54"/>
    <n v="-4858677.7"/>
    <n v="1140"/>
    <n v="12.288192982456142"/>
    <n v="0"/>
    <s v="ARS"/>
    <s v="CC"/>
    <s v="MACRO"/>
    <x v="1"/>
    <x v="1"/>
    <x v="1"/>
    <s v="DEBITO IVA FISCAL"/>
    <m/>
    <m/>
    <x v="1"/>
    <m/>
    <s v="24/25"/>
    <s v="EGRESOS"/>
    <s v="EFECTIVO Y OTROS ACT LÍQ EQ."/>
  </r>
  <r>
    <x v="0"/>
    <d v="2025-01-02T00:00:00"/>
    <s v="DEBITO FISCAL IVA PERCEPCION"/>
    <m/>
    <n v="2001.22"/>
    <n v="0"/>
    <n v="-2001.22"/>
    <n v="-4860678.92"/>
    <n v="1140"/>
    <n v="1.7554561403508773"/>
    <n v="0"/>
    <s v="ARS"/>
    <s v="CC"/>
    <s v="MACRO"/>
    <x v="1"/>
    <x v="1"/>
    <x v="1"/>
    <s v="IVA PERCEPCION"/>
    <m/>
    <m/>
    <x v="1"/>
    <m/>
    <s v="24/25"/>
    <s v="EGRESOS"/>
    <s v="EFECTIVO Y OTROS ACT LÍQ EQ."/>
  </r>
  <r>
    <x v="0"/>
    <d v="2025-01-02T00:00:00"/>
    <s v="INTER.ADEL.CC C/ACUERD"/>
    <m/>
    <n v="133414.62"/>
    <n v="0"/>
    <n v="-133414.62"/>
    <n v="-4994093.54"/>
    <n v="1140"/>
    <n v="117.03036842105263"/>
    <n v="0"/>
    <s v="ARS"/>
    <s v="CC"/>
    <s v="MACRO"/>
    <x v="1"/>
    <x v="6"/>
    <x v="8"/>
    <s v="ACUERDO"/>
    <m/>
    <m/>
    <x v="1"/>
    <m/>
    <s v="24/25"/>
    <s v="EGRESOS"/>
    <s v="EFECTIVO Y OTROS ACT LÍQ EQ."/>
  </r>
  <r>
    <x v="0"/>
    <d v="2025-01-02T00:00:00"/>
    <s v="DEBITO FISCAL IVA BASICO"/>
    <m/>
    <n v="3218.36"/>
    <n v="0"/>
    <n v="-3218.36"/>
    <n v="-4997311.9000000004"/>
    <n v="1140"/>
    <n v="2.823122807017544"/>
    <n v="0"/>
    <s v="ARS"/>
    <s v="CC"/>
    <s v="MACRO"/>
    <x v="1"/>
    <x v="1"/>
    <x v="1"/>
    <s v="DEBITO IVA FISCAL"/>
    <m/>
    <m/>
    <x v="1"/>
    <m/>
    <s v="24/25"/>
    <s v="EGRESOS"/>
    <s v="EFECTIVO Y OTROS ACT LÍQ EQ."/>
  </r>
  <r>
    <x v="0"/>
    <d v="2025-01-02T00:00:00"/>
    <s v="DEBITO FISCAL IVA PERCEPCION"/>
    <m/>
    <n v="459.77"/>
    <n v="0"/>
    <n v="-459.77"/>
    <n v="-4997771.67"/>
    <n v="1140"/>
    <n v="0.40330701754385961"/>
    <n v="0"/>
    <s v="ARS"/>
    <s v="CC"/>
    <s v="MACRO"/>
    <x v="1"/>
    <x v="1"/>
    <x v="1"/>
    <s v="IVA PERCEPCION"/>
    <m/>
    <m/>
    <x v="1"/>
    <m/>
    <s v="24/25"/>
    <s v="EGRESOS"/>
    <s v="EFECTIVO Y OTROS ACT LÍQ EQ."/>
  </r>
  <r>
    <x v="0"/>
    <d v="2025-01-02T00:00:00"/>
    <s v="INTER.ADEL.CC S/ACUERD"/>
    <m/>
    <n v="30651.05"/>
    <n v="0"/>
    <n v="-30651.05"/>
    <n v="-5028422.72"/>
    <n v="1140"/>
    <n v="26.886885964912281"/>
    <n v="0"/>
    <s v="ARS"/>
    <s v="CC"/>
    <s v="MACRO"/>
    <x v="1"/>
    <x v="6"/>
    <x v="8"/>
    <s v="ACUERDO"/>
    <m/>
    <m/>
    <x v="1"/>
    <m/>
    <s v="24/25"/>
    <s v="EGRESOS"/>
    <s v="EFECTIVO Y OTROS ACT LÍQ EQ."/>
  </r>
  <r>
    <x v="0"/>
    <d v="2025-01-02T00:00:00"/>
    <s v="CHEQUE P/CAMARA"/>
    <s v="N54053745"/>
    <n v="290976.96999999997"/>
    <n v="0"/>
    <n v="-290976.96999999997"/>
    <n v="-5319399.6900000004"/>
    <n v="1140"/>
    <n v="255.24295614035086"/>
    <n v="0"/>
    <s v="ARS"/>
    <s v="CC"/>
    <s v="MACRO"/>
    <x v="3"/>
    <x v="14"/>
    <x v="22"/>
    <m/>
    <s v="TRIVERO"/>
    <s v="FA15, 39"/>
    <x v="4"/>
    <m/>
    <s v="23/24"/>
    <s v="BIENES Y SERVICIOS"/>
    <s v="EFECTIVO Y OTROS ACT LÍQ EQ."/>
  </r>
  <r>
    <x v="0"/>
    <d v="2025-01-03T00:00:00"/>
    <s v="CHEQUE P/CAMARA"/>
    <s v="N51936031"/>
    <n v="1317608"/>
    <n v="0"/>
    <n v="-1317608"/>
    <n v="-6721792.3700000001"/>
    <n v="1140"/>
    <n v="1155.7964912280702"/>
    <n v="0"/>
    <s v="ARS"/>
    <s v="CC"/>
    <s v="MACRO"/>
    <x v="2"/>
    <x v="4"/>
    <x v="5"/>
    <s v="APLICACIONES"/>
    <s v="CLERICI JUAN PABLO"/>
    <s v="FA 118"/>
    <x v="4"/>
    <m/>
    <s v="23/24"/>
    <s v="BIENES Y SERVICIOS"/>
    <s v="EFECTIVO Y OTROS ACT LÍQ EQ."/>
  </r>
  <r>
    <x v="0"/>
    <d v="2025-01-03T00:00:00"/>
    <s v="CHEQUE P/CAMARA"/>
    <s v="N51936034"/>
    <n v="328116"/>
    <n v="0"/>
    <n v="-328116"/>
    <n v="-7049908.3700000001"/>
    <n v="1140"/>
    <n v="287.82105263157894"/>
    <n v="0"/>
    <s v="ARS"/>
    <s v="CC"/>
    <s v="MACRO"/>
    <x v="5"/>
    <x v="13"/>
    <x v="21"/>
    <s v="HACIENDA"/>
    <s v="LA YUNTA VET"/>
    <s v="FA 137"/>
    <x v="4"/>
    <m/>
    <s v="23/24"/>
    <s v="BIENES Y SERVICIOS"/>
    <s v="EFECTIVO Y OTROS ACT LÍQ EQ."/>
  </r>
  <r>
    <x v="0"/>
    <d v="2025-01-03T00:00:00"/>
    <s v="CHEQUE P/CAMARA"/>
    <s v="N54056923"/>
    <n v="1151184.3999999999"/>
    <n v="0"/>
    <n v="-1151184.3999999999"/>
    <n v="-8201092.7699999996"/>
    <n v="1140"/>
    <n v="1009.8108771929824"/>
    <n v="0"/>
    <s v="ARS"/>
    <s v="CC"/>
    <s v="MACRO"/>
    <x v="3"/>
    <x v="14"/>
    <x v="22"/>
    <m/>
    <s v="HUINCAGRO"/>
    <s v="FA 53"/>
    <x v="4"/>
    <m/>
    <s v="23/24"/>
    <s v="BIENES Y SERVICIOS"/>
    <s v="EFECTIVO Y OTROS ACT LÍQ EQ."/>
  </r>
  <r>
    <x v="0"/>
    <d v="2025-01-03T00:00:00"/>
    <s v="CHEQUE P/CAMARA"/>
    <s v="N54213833"/>
    <n v="839778"/>
    <n v="0"/>
    <n v="-839778"/>
    <n v="-9040870.7699999996"/>
    <n v="1140"/>
    <n v="736.64736842105265"/>
    <n v="0"/>
    <s v="ARS"/>
    <s v="CC"/>
    <s v="MACRO"/>
    <x v="2"/>
    <x v="4"/>
    <x v="5"/>
    <s v="APLICACIONES"/>
    <s v="CLERICI JUAN PABLO"/>
    <s v="FA 0123"/>
    <x v="4"/>
    <m/>
    <s v="23/24"/>
    <s v="BIENES Y SERVICIOS"/>
    <s v="EFECTIVO Y OTROS ACT LÍQ EQ."/>
  </r>
  <r>
    <x v="0"/>
    <d v="2025-01-03T00:00:00"/>
    <s v="TRANSF G Y E SA 30708920882 VAR VARIOS 161104"/>
    <m/>
    <n v="0"/>
    <n v="3100000"/>
    <n v="3100000"/>
    <n v="-5940870.7699999996"/>
    <n v="1140"/>
    <n v="0"/>
    <n v="2719.2982456140353"/>
    <s v="ARS"/>
    <s v="CC"/>
    <s v="MACRO"/>
    <x v="0"/>
    <x v="0"/>
    <x v="0"/>
    <s v="DESDE PAMPA"/>
    <m/>
    <m/>
    <x v="0"/>
    <m/>
    <s v="24/25"/>
    <m/>
    <m/>
  </r>
  <r>
    <x v="0"/>
    <d v="2025-01-03T00:00:00"/>
    <s v="TRANSF G Y E SA 30708920882 VAR VARIOS 161104"/>
    <m/>
    <n v="0"/>
    <n v="1000000"/>
    <n v="1000000"/>
    <n v="-4940870.7699999996"/>
    <n v="1140"/>
    <n v="0"/>
    <n v="877.19298245614038"/>
    <s v="ARS"/>
    <s v="CC"/>
    <s v="MACRO"/>
    <x v="0"/>
    <x v="0"/>
    <x v="0"/>
    <s v="DESDE PAMPA"/>
    <m/>
    <m/>
    <x v="0"/>
    <m/>
    <s v="24/25"/>
    <m/>
    <m/>
  </r>
  <r>
    <x v="0"/>
    <d v="2025-01-03T00:00:00"/>
    <s v="DEBITO FISCAL IVA BASICO"/>
    <m/>
    <n v="2383.5"/>
    <n v="0"/>
    <n v="-2383.5"/>
    <n v="-4943254.2699999996"/>
    <n v="1140"/>
    <n v="2.0907894736842105"/>
    <n v="0"/>
    <s v="ARS"/>
    <s v="CC"/>
    <s v="MACRO"/>
    <x v="1"/>
    <x v="1"/>
    <x v="1"/>
    <s v="DEBITO IVA FISCAL"/>
    <m/>
    <m/>
    <x v="1"/>
    <m/>
    <s v="24/25"/>
    <s v="EGRESOS"/>
    <s v="EFECTIVO Y OTROS ACT LÍQ EQ."/>
  </r>
  <r>
    <x v="0"/>
    <d v="2025-01-03T00:00:00"/>
    <s v="DEBITO FISCAL IVA PERCEPCION"/>
    <m/>
    <n v="340.5"/>
    <n v="0"/>
    <n v="-340.5"/>
    <n v="-4943594.7699999996"/>
    <n v="1140"/>
    <n v="0.29868421052631577"/>
    <n v="0"/>
    <s v="ARS"/>
    <s v="CC"/>
    <s v="MACRO"/>
    <x v="1"/>
    <x v="1"/>
    <x v="1"/>
    <s v="IVA PERCEPCION"/>
    <m/>
    <m/>
    <x v="1"/>
    <m/>
    <s v="24/25"/>
    <s v="EGRESOS"/>
    <s v="EFECTIVO Y OTROS ACT LÍQ EQ."/>
  </r>
  <r>
    <x v="0"/>
    <d v="2025-01-03T00:00:00"/>
    <s v="COMISION CHEQUE CONSULTA"/>
    <m/>
    <n v="11350"/>
    <n v="0"/>
    <n v="-11350"/>
    <n v="-4954944.7699999996"/>
    <n v="1140"/>
    <n v="9.9561403508771935"/>
    <n v="0"/>
    <s v="ARS"/>
    <s v="CC"/>
    <s v="MACRO"/>
    <x v="1"/>
    <x v="7"/>
    <x v="9"/>
    <m/>
    <m/>
    <m/>
    <x v="1"/>
    <m/>
    <s v="24/25"/>
    <s v="EGRESOS"/>
    <s v="EFECTIVO Y OTROS ACT LÍQ EQ."/>
  </r>
  <r>
    <x v="0"/>
    <d v="2025-01-03T00:00:00"/>
    <s v="DBCR 25413 S/CR TASA GRAL"/>
    <m/>
    <n v="21904.57"/>
    <n v="0"/>
    <n v="-21904.57"/>
    <n v="-4976849.34"/>
    <n v="1140"/>
    <n v="19.214535087719298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0"/>
    <d v="2025-01-03T00:00:00"/>
    <s v="DB TR..AUT.SDO.MISMO TIT."/>
    <m/>
    <n v="659682.38"/>
    <n v="0"/>
    <n v="-659682.38"/>
    <n v="-5636531.7199999997"/>
    <n v="1140"/>
    <n v="578.66875438596492"/>
    <n v="0"/>
    <s v="ARS"/>
    <s v="CC"/>
    <s v="MACRO"/>
    <x v="0"/>
    <x v="0"/>
    <x v="0"/>
    <s v="HACIA LA CA"/>
    <m/>
    <m/>
    <x v="0"/>
    <m/>
    <s v="24/25"/>
    <m/>
    <m/>
  </r>
  <r>
    <x v="0"/>
    <d v="2025-01-06T00:00:00"/>
    <s v="CHEQUE P/CAMARA"/>
    <s v="N54382191"/>
    <n v="102000"/>
    <n v="0"/>
    <n v="-102000"/>
    <n v="-5738531.7199999997"/>
    <n v="1140"/>
    <n v="89.473684210526315"/>
    <n v="0"/>
    <s v="ARS"/>
    <s v="CC"/>
    <s v="MACRO"/>
    <x v="3"/>
    <x v="8"/>
    <x v="11"/>
    <s v="ARREGLO CUB AUX"/>
    <s v="GOMERIA GONZALEZ"/>
    <m/>
    <x v="6"/>
    <m/>
    <s v="25/26"/>
    <s v="BIENES DE USO"/>
    <s v="EFECTIVO Y OTROS ACT LÍQ EQ."/>
  </r>
  <r>
    <x v="0"/>
    <d v="2025-01-06T00:00:00"/>
    <s v="TRANSF. MACRONLINE E-SET D/T"/>
    <m/>
    <n v="40000"/>
    <n v="0"/>
    <n v="-40000"/>
    <n v="-5778531.7199999997"/>
    <n v="1140"/>
    <n v="35.087719298245617"/>
    <n v="0"/>
    <s v="ARS"/>
    <s v="CC"/>
    <s v="MACRO"/>
    <x v="5"/>
    <x v="13"/>
    <x v="34"/>
    <s v="ANALISIS COPROLOGICO"/>
    <s v="ALANIZ MELANIA"/>
    <s v="FA164"/>
    <x v="4"/>
    <m/>
    <s v="24/25"/>
    <s v="BIENES Y SERVICIOS"/>
    <s v="EFECTIVO Y OTROS ACT LÍQ EQ."/>
  </r>
  <r>
    <x v="0"/>
    <d v="2025-01-06T00:00:00"/>
    <s v="DBCR 25413 S/CR TASA GRAL"/>
    <m/>
    <n v="852"/>
    <n v="0"/>
    <n v="-852"/>
    <n v="-5779383.7199999997"/>
    <n v="1140"/>
    <n v="0.74736842105263157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0"/>
    <d v="2025-01-08T00:00:00"/>
    <s v="DEBITO FISCAL IVA BASICO"/>
    <m/>
    <n v="14616"/>
    <n v="0"/>
    <n v="-14616"/>
    <n v="-5793999.7199999997"/>
    <n v="1140"/>
    <n v="12.821052631578947"/>
    <n v="0"/>
    <s v="ARS"/>
    <s v="CC"/>
    <s v="MACRO"/>
    <x v="1"/>
    <x v="1"/>
    <x v="1"/>
    <s v="DEBITO IVA FISCAL"/>
    <m/>
    <m/>
    <x v="1"/>
    <m/>
    <s v="24/25"/>
    <s v="EGRESOS"/>
    <s v="EFECTIVO Y OTROS ACT LÍQ EQ."/>
  </r>
  <r>
    <x v="0"/>
    <d v="2025-01-08T00:00:00"/>
    <s v="DEBITO FISCAL IVA PERCEPCION"/>
    <m/>
    <n v="2088"/>
    <n v="0"/>
    <n v="-2088"/>
    <n v="-5796087.7199999997"/>
    <n v="1140"/>
    <n v="1.831578947368421"/>
    <n v="0"/>
    <s v="ARS"/>
    <s v="CC"/>
    <s v="MACRO"/>
    <x v="1"/>
    <x v="1"/>
    <x v="1"/>
    <s v="IVA PERCEPCION"/>
    <m/>
    <m/>
    <x v="1"/>
    <m/>
    <s v="24/25"/>
    <s v="EGRESOS"/>
    <s v="EFECTIVO Y OTROS ACT LÍQ EQ."/>
  </r>
  <r>
    <x v="0"/>
    <d v="2025-01-08T00:00:00"/>
    <s v="COM. SERV DESC NO AUTORIZ."/>
    <m/>
    <n v="69600"/>
    <n v="0"/>
    <n v="-69600"/>
    <n v="-5865687.7199999997"/>
    <n v="1140"/>
    <n v="61.05263157894737"/>
    <n v="0"/>
    <s v="ARS"/>
    <s v="CC"/>
    <s v="MACRO"/>
    <x v="1"/>
    <x v="7"/>
    <x v="9"/>
    <m/>
    <m/>
    <m/>
    <x v="1"/>
    <m/>
    <s v="24/25"/>
    <s v="EGRESOS"/>
    <s v="EFECTIVO Y OTROS ACT LÍQ EQ."/>
  </r>
  <r>
    <x v="0"/>
    <d v="2025-01-08T00:00:00"/>
    <s v="DBCR 25413 S/CR TASA GRAL"/>
    <m/>
    <n v="517.82000000000005"/>
    <n v="0"/>
    <n v="-517.82000000000005"/>
    <n v="-5866205.54"/>
    <n v="1140"/>
    <n v="0.45422807017543865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0"/>
    <d v="2025-01-08T00:00:00"/>
    <s v="DB TR..AUT.SDO.MISMO TIT."/>
    <m/>
    <n v="4989.76"/>
    <n v="0"/>
    <n v="-4989.76"/>
    <n v="-5871195.2999999998"/>
    <n v="1140"/>
    <n v="4.3769824561403512"/>
    <n v="0"/>
    <s v="ARS"/>
    <s v="CC"/>
    <s v="MACRO"/>
    <x v="0"/>
    <x v="0"/>
    <x v="0"/>
    <s v="HACIA CA MACRO"/>
    <m/>
    <m/>
    <x v="0"/>
    <m/>
    <s v="24/25"/>
    <m/>
    <m/>
  </r>
  <r>
    <x v="0"/>
    <d v="2025-01-09T00:00:00"/>
    <s v="CHEQUE P/CAMARA"/>
    <s v="N51936044"/>
    <n v="392000"/>
    <n v="0"/>
    <n v="-392000"/>
    <n v="-6263195.2999999998"/>
    <n v="1140"/>
    <n v="343.85964912280701"/>
    <n v="0"/>
    <s v="ARS"/>
    <s v="CC"/>
    <s v="MACRO"/>
    <x v="5"/>
    <x v="13"/>
    <x v="4"/>
    <s v="HONORARIOS"/>
    <s v="FEDE PICCIOCHI"/>
    <s v="FA306"/>
    <x v="4"/>
    <m/>
    <s v="24/25"/>
    <s v="BIENES Y SERVICIOS"/>
    <s v="EFECTIVO Y OTROS ACT LÍQ EQ."/>
  </r>
  <r>
    <x v="0"/>
    <d v="2025-01-09T00:00:00"/>
    <s v="TRANSF G Y E SA 30708920882 VAR VARIOS 161104"/>
    <m/>
    <n v="0"/>
    <n v="500000"/>
    <n v="500000"/>
    <n v="-5763195.2999999998"/>
    <n v="1140"/>
    <n v="0"/>
    <n v="438.59649122807019"/>
    <s v="ARS"/>
    <s v="CC"/>
    <s v="MACRO"/>
    <x v="0"/>
    <x v="0"/>
    <x v="0"/>
    <s v="DESDE EL PAMPA"/>
    <m/>
    <m/>
    <x v="0"/>
    <m/>
    <s v="24/25"/>
    <m/>
    <m/>
  </r>
  <r>
    <x v="0"/>
    <d v="2025-01-09T00:00:00"/>
    <s v="DEBITO FISCAL IVA BASICO"/>
    <m/>
    <n v="2383.5"/>
    <n v="0"/>
    <n v="-2383.5"/>
    <n v="-5765578.7999999998"/>
    <n v="1140"/>
    <n v="2.0907894736842105"/>
    <n v="0"/>
    <s v="ARS"/>
    <s v="CC"/>
    <s v="MACRO"/>
    <x v="1"/>
    <x v="1"/>
    <x v="1"/>
    <s v="DEBITO IVA FISCAL"/>
    <m/>
    <m/>
    <x v="1"/>
    <m/>
    <s v="24/25"/>
    <s v="EGRESOS"/>
    <s v="EFECTIVO Y OTROS ACT LÍQ EQ."/>
  </r>
  <r>
    <x v="0"/>
    <d v="2025-01-09T00:00:00"/>
    <s v="DEBITO FISCAL IVA PERCEPCION"/>
    <m/>
    <n v="340.5"/>
    <n v="0"/>
    <n v="-340.5"/>
    <n v="-5765919.2999999998"/>
    <n v="1140"/>
    <n v="0.29868421052631577"/>
    <n v="0"/>
    <s v="ARS"/>
    <s v="CC"/>
    <s v="MACRO"/>
    <x v="1"/>
    <x v="1"/>
    <x v="1"/>
    <s v="IVA PERCEPCION"/>
    <m/>
    <m/>
    <x v="1"/>
    <m/>
    <s v="24/25"/>
    <s v="EGRESOS"/>
    <s v="EFECTIVO Y OTROS ACT LÍQ EQ."/>
  </r>
  <r>
    <x v="0"/>
    <d v="2025-01-09T00:00:00"/>
    <s v="COMISION CHEQUE CONSULTA"/>
    <m/>
    <n v="11350"/>
    <n v="0"/>
    <n v="-11350"/>
    <n v="-5777269.2999999998"/>
    <n v="1140"/>
    <n v="9.9561403508771935"/>
    <n v="0"/>
    <s v="ARS"/>
    <s v="CC"/>
    <s v="MACRO"/>
    <x v="1"/>
    <x v="7"/>
    <x v="9"/>
    <m/>
    <m/>
    <m/>
    <x v="1"/>
    <m/>
    <s v="24/25"/>
    <s v="EGRESOS"/>
    <s v="EFECTIVO Y OTROS ACT LÍQ EQ."/>
  </r>
  <r>
    <x v="0"/>
    <d v="2025-01-09T00:00:00"/>
    <s v="DBCR 25413 S/CR TASA GRAL"/>
    <m/>
    <n v="2436.44"/>
    <n v="0"/>
    <n v="-2436.44"/>
    <n v="-5779705.7400000002"/>
    <n v="1140"/>
    <n v="2.1372280701754387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0"/>
    <d v="2025-01-10T00:00:00"/>
    <s v="TRANSF. MACRONLINE E-SET D/T"/>
    <m/>
    <n v="200000"/>
    <n v="0"/>
    <n v="-200000"/>
    <n v="-5979705.7400000002"/>
    <n v="1140"/>
    <n v="175.43859649122808"/>
    <n v="0"/>
    <s v="ARS"/>
    <s v="CC"/>
    <s v="MACRO"/>
    <x v="1"/>
    <x v="2"/>
    <x v="2"/>
    <s v="RETIRO RAUL"/>
    <s v="RAUL"/>
    <m/>
    <x v="2"/>
    <s v="RAUL"/>
    <s v="24/25"/>
    <s v="FUTURAS UT. ADL RAUL"/>
    <s v="EFECTIVO Y OTROS ACT LÍQ EQ."/>
  </r>
  <r>
    <x v="0"/>
    <d v="2025-01-10T00:00:00"/>
    <s v="DBCR 25413 S/CR TASA GRAL"/>
    <m/>
    <n v="1200"/>
    <n v="0"/>
    <n v="-1200"/>
    <n v="-5980905.7400000002"/>
    <n v="1140"/>
    <n v="1.0526315789473684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0"/>
    <d v="2025-01-14T00:00:00"/>
    <s v="CHEQUE P/CAMARA"/>
    <s v="N54580542"/>
    <n v="1692640.86"/>
    <n v="0"/>
    <n v="-1692640.86"/>
    <n v="-7673546.5999999996"/>
    <n v="1140"/>
    <n v="1484.7726842105264"/>
    <n v="0"/>
    <s v="ARS"/>
    <s v="CC"/>
    <s v="MACRO"/>
    <x v="3"/>
    <x v="14"/>
    <x v="35"/>
    <m/>
    <s v="DIESEL LANGE"/>
    <s v="FA86,03,16"/>
    <x v="4"/>
    <m/>
    <s v="24/25"/>
    <s v="BIENES DE USO"/>
    <s v="EFECTIVO Y OTROS ACT LÍQ EQ."/>
  </r>
  <r>
    <x v="0"/>
    <d v="2025-01-14T00:00:00"/>
    <s v="TEF DATANET MT G E S A 30708920882"/>
    <m/>
    <n v="0"/>
    <n v="1800000"/>
    <n v="1800000"/>
    <n v="-5873546.5999999996"/>
    <n v="1140"/>
    <n v="0"/>
    <n v="1578.9473684210527"/>
    <s v="ARS"/>
    <s v="CC"/>
    <s v="MACRO"/>
    <x v="0"/>
    <x v="0"/>
    <x v="0"/>
    <s v="DESDE EL GALICIA"/>
    <m/>
    <m/>
    <x v="0"/>
    <m/>
    <s v="24/25"/>
    <m/>
    <m/>
  </r>
  <r>
    <x v="0"/>
    <d v="2025-01-14T00:00:00"/>
    <s v="DEBITO FISCAL IVA BASICO"/>
    <m/>
    <n v="2383.5"/>
    <n v="0"/>
    <n v="-2383.5"/>
    <n v="-5875930.0999999996"/>
    <n v="1140"/>
    <n v="2.0907894736842105"/>
    <n v="0"/>
    <s v="ARS"/>
    <s v="CC"/>
    <s v="MACRO"/>
    <x v="1"/>
    <x v="1"/>
    <x v="1"/>
    <s v="DEBITO IVA FISCAL"/>
    <m/>
    <m/>
    <x v="1"/>
    <m/>
    <s v="24/25"/>
    <s v="EGRESOS"/>
    <s v="EFECTIVO Y OTROS ACT LÍQ EQ."/>
  </r>
  <r>
    <x v="0"/>
    <d v="2025-01-14T00:00:00"/>
    <s v="DEBITO FISCAL IVA PERCEPCION"/>
    <m/>
    <n v="340.5"/>
    <n v="0"/>
    <n v="-340.5"/>
    <n v="-5876270.5999999996"/>
    <n v="1140"/>
    <n v="0.29868421052631577"/>
    <n v="0"/>
    <s v="ARS"/>
    <s v="CC"/>
    <s v="MACRO"/>
    <x v="1"/>
    <x v="1"/>
    <x v="1"/>
    <s v="IVA PERCEPCION"/>
    <m/>
    <m/>
    <x v="1"/>
    <m/>
    <s v="24/25"/>
    <s v="EGRESOS"/>
    <s v="EFECTIVO Y OTROS ACT LÍQ EQ."/>
  </r>
  <r>
    <x v="0"/>
    <d v="2025-01-14T00:00:00"/>
    <s v="COMISION CHEQUE CONSULTA"/>
    <m/>
    <n v="11350"/>
    <n v="0"/>
    <n v="-11350"/>
    <n v="-5887620.5999999996"/>
    <n v="1140"/>
    <n v="9.9561403508771935"/>
    <n v="0"/>
    <s v="ARS"/>
    <s v="CC"/>
    <s v="MACRO"/>
    <x v="1"/>
    <x v="7"/>
    <x v="9"/>
    <m/>
    <m/>
    <m/>
    <x v="1"/>
    <m/>
    <s v="24/25"/>
    <s v="EGRESOS"/>
    <s v="EFECTIVO Y OTROS ACT LÍQ EQ."/>
  </r>
  <r>
    <x v="0"/>
    <d v="2025-01-14T00:00:00"/>
    <s v="DBCR 25413 S/CR TASA GRAL"/>
    <m/>
    <n v="10240.290000000001"/>
    <n v="0"/>
    <n v="-10240.290000000001"/>
    <n v="-5897860.8899999997"/>
    <n v="1140"/>
    <n v="8.98271052631579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0"/>
    <d v="2025-01-16T00:00:00"/>
    <s v="CHEQUE P/CAMARA"/>
    <s v="N54323560"/>
    <n v="281666.44"/>
    <n v="0"/>
    <n v="-281666.44"/>
    <n v="-6179527.3300000001"/>
    <n v="1140"/>
    <n v="247.07582456140352"/>
    <n v="0"/>
    <s v="ARS"/>
    <s v="CC"/>
    <s v="MACRO"/>
    <x v="3"/>
    <x v="5"/>
    <x v="7"/>
    <m/>
    <s v="CORRALON RIVADAVIA"/>
    <s v="FA1802"/>
    <x v="4"/>
    <m/>
    <s v="24/25"/>
    <s v="INFRAESTRUCTURA"/>
    <s v="EFECTIVO Y OTROS ACT LÍQ EQ."/>
  </r>
  <r>
    <x v="0"/>
    <d v="2025-01-16T00:00:00"/>
    <s v="TRANSF G Y E SA 30708920882 VAR VARIOS 161104"/>
    <m/>
    <n v="0"/>
    <n v="500000"/>
    <n v="500000"/>
    <n v="-5679527.3300000001"/>
    <n v="1140"/>
    <n v="0"/>
    <n v="438.59649122807019"/>
    <s v="ARS"/>
    <s v="CC"/>
    <s v="MACRO"/>
    <x v="0"/>
    <x v="0"/>
    <x v="0"/>
    <s v="DESDE EL PAMPA"/>
    <m/>
    <m/>
    <x v="0"/>
    <m/>
    <s v="24/25"/>
    <m/>
    <m/>
  </r>
  <r>
    <x v="0"/>
    <d v="2025-01-16T00:00:00"/>
    <s v="TRANSF. MACRONLINE E-SET D/T"/>
    <m/>
    <n v="200000"/>
    <n v="0"/>
    <n v="-200000"/>
    <n v="-5879527.3300000001"/>
    <n v="1140"/>
    <n v="175.43859649122808"/>
    <n v="0"/>
    <s v="ARS"/>
    <s v="CC"/>
    <s v="MACRO"/>
    <x v="1"/>
    <x v="2"/>
    <x v="2"/>
    <m/>
    <s v="RAUL"/>
    <m/>
    <x v="2"/>
    <s v="RAUL"/>
    <s v="24/25"/>
    <s v="FUTURAS UT. ADL RAUL"/>
    <s v="EFECTIVO Y OTROS ACT LÍQ EQ."/>
  </r>
  <r>
    <x v="0"/>
    <d v="2025-01-16T00:00:00"/>
    <s v="DEBITO FISCAL IVA BASICO"/>
    <m/>
    <n v="2383.5"/>
    <n v="0"/>
    <n v="-2383.5"/>
    <n v="-5881910.8300000001"/>
    <n v="1140"/>
    <n v="2.0907894736842105"/>
    <n v="0"/>
    <s v="ARS"/>
    <s v="CC"/>
    <s v="MACRO"/>
    <x v="1"/>
    <x v="1"/>
    <x v="1"/>
    <s v="DEBITO IVA FISCAL"/>
    <m/>
    <m/>
    <x v="1"/>
    <m/>
    <s v="24/25"/>
    <s v="EGRESOS"/>
    <s v="EFECTIVO Y OTROS ACT LÍQ EQ."/>
  </r>
  <r>
    <x v="0"/>
    <d v="2025-01-16T00:00:00"/>
    <s v="DEBITO FISCAL IVA PERCEPCION"/>
    <m/>
    <n v="340.5"/>
    <n v="0"/>
    <n v="-340.5"/>
    <n v="-5882251.3300000001"/>
    <n v="1140"/>
    <n v="0.29868421052631577"/>
    <n v="0"/>
    <s v="ARS"/>
    <s v="CC"/>
    <s v="MACRO"/>
    <x v="1"/>
    <x v="1"/>
    <x v="1"/>
    <s v="IVA PERCEPCION"/>
    <m/>
    <m/>
    <x v="1"/>
    <m/>
    <s v="24/25"/>
    <s v="EGRESOS"/>
    <s v="EFECTIVO Y OTROS ACT LÍQ EQ."/>
  </r>
  <r>
    <x v="0"/>
    <d v="2025-01-16T00:00:00"/>
    <s v="COMISION CHEQUE CONSULTA"/>
    <m/>
    <n v="11350"/>
    <n v="0"/>
    <n v="-11350"/>
    <n v="-5893601.3300000001"/>
    <n v="1140"/>
    <n v="9.9561403508771935"/>
    <n v="0"/>
    <s v="ARS"/>
    <s v="CC"/>
    <s v="MACRO"/>
    <x v="1"/>
    <x v="7"/>
    <x v="9"/>
    <s v="COMISION"/>
    <m/>
    <m/>
    <x v="1"/>
    <m/>
    <s v="24/25"/>
    <s v="EGRESOS"/>
    <s v="EFECTIVO Y OTROS ACT LÍQ EQ."/>
  </r>
  <r>
    <x v="0"/>
    <d v="2025-01-16T00:00:00"/>
    <s v="DBCR 25413 S/CR TASA GRAL"/>
    <m/>
    <n v="2974.44"/>
    <n v="0"/>
    <n v="-2974.44"/>
    <n v="-5896575.7699999996"/>
    <n v="1140"/>
    <n v="2.6091578947368421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0"/>
    <d v="2025-01-17T00:00:00"/>
    <s v="CHEQUE P/CAMARA"/>
    <s v="N51936047"/>
    <n v="142573.5"/>
    <n v="0"/>
    <n v="-142573.5"/>
    <n v="-6039149.2699999996"/>
    <n v="1140"/>
    <n v="125.06447368421053"/>
    <n v="0"/>
    <s v="ARS"/>
    <s v="CC"/>
    <s v="MACRO"/>
    <x v="3"/>
    <x v="5"/>
    <x v="7"/>
    <m/>
    <s v="AGRICOLA CENTENO"/>
    <s v="FA7488"/>
    <x v="4"/>
    <m/>
    <s v="23/24"/>
    <s v="BIENES Y SERVICIOS"/>
    <s v="EFECTIVO Y OTROS ACT LÍQ EQ."/>
  </r>
  <r>
    <x v="0"/>
    <d v="2025-01-17T00:00:00"/>
    <s v="CHEQUE CANJE INTERNO"/>
    <s v="N51936037"/>
    <n v="500000"/>
    <n v="0"/>
    <n v="-500000"/>
    <n v="-6539149.2699999996"/>
    <n v="1140"/>
    <n v="438.59649122807019"/>
    <n v="0"/>
    <s v="ARS"/>
    <s v="CC"/>
    <s v="MACRO"/>
    <x v="3"/>
    <x v="14"/>
    <x v="35"/>
    <m/>
    <s v="FERNANDO MAGALLANES"/>
    <m/>
    <x v="7"/>
    <m/>
    <s v="24/25"/>
    <s v="BIENES Y SERVICIOS"/>
    <s v="EFECTIVO Y OTROS ACT LÍQ EQ."/>
  </r>
  <r>
    <x v="0"/>
    <d v="2025-01-17T00:00:00"/>
    <s v="TRANSF G Y E SA 30708920882 VAR VARIOS 161104"/>
    <m/>
    <n v="0"/>
    <n v="600000"/>
    <n v="600000"/>
    <n v="-5939149.2699999996"/>
    <n v="1140"/>
    <n v="0"/>
    <n v="526.31578947368416"/>
    <s v="ARS"/>
    <s v="CC"/>
    <s v="MACRO"/>
    <x v="0"/>
    <x v="0"/>
    <x v="0"/>
    <s v="DESDE PAMPA"/>
    <m/>
    <m/>
    <x v="0"/>
    <m/>
    <s v="24/25"/>
    <m/>
    <m/>
  </r>
  <r>
    <x v="0"/>
    <d v="2025-01-17T00:00:00"/>
    <s v="DEBITO FISCAL IVA BASICO"/>
    <m/>
    <n v="2383.5"/>
    <n v="0"/>
    <n v="-2383.5"/>
    <n v="-5941532.7699999996"/>
    <n v="1140"/>
    <n v="2.0907894736842105"/>
    <n v="0"/>
    <s v="ARS"/>
    <s v="CC"/>
    <s v="MACRO"/>
    <x v="1"/>
    <x v="1"/>
    <x v="1"/>
    <s v="DEBITO IVA FISCAL"/>
    <m/>
    <m/>
    <x v="1"/>
    <m/>
    <s v="24/25"/>
    <s v="EGRESOS"/>
    <s v="EFECTIVO Y OTROS ACT LÍQ EQ."/>
  </r>
  <r>
    <x v="0"/>
    <d v="2025-01-17T00:00:00"/>
    <s v="DEBITO FISCAL IVA PERCEPCION"/>
    <m/>
    <n v="340.5"/>
    <n v="0"/>
    <n v="-340.5"/>
    <n v="-5941873.2699999996"/>
    <n v="1140"/>
    <n v="0.29868421052631577"/>
    <n v="0"/>
    <s v="ARS"/>
    <s v="CC"/>
    <s v="MACRO"/>
    <x v="1"/>
    <x v="1"/>
    <x v="1"/>
    <s v="IVA PERCEPCION"/>
    <m/>
    <m/>
    <x v="1"/>
    <m/>
    <s v="24/25"/>
    <s v="EGRESOS"/>
    <s v="EFECTIVO Y OTROS ACT LÍQ EQ."/>
  </r>
  <r>
    <x v="0"/>
    <d v="2025-01-17T00:00:00"/>
    <s v="COMISION CHEQUE CONSULTA"/>
    <m/>
    <n v="11350"/>
    <n v="0"/>
    <n v="-11350"/>
    <n v="-5953223.2699999996"/>
    <n v="1140"/>
    <n v="9.9561403508771935"/>
    <n v="0"/>
    <s v="ARS"/>
    <s v="CC"/>
    <s v="MACRO"/>
    <x v="1"/>
    <x v="7"/>
    <x v="9"/>
    <m/>
    <m/>
    <m/>
    <x v="1"/>
    <m/>
    <s v="24/25"/>
    <s v="EGRESOS"/>
    <s v="EFECTIVO Y OTROS ACT LÍQ EQ."/>
  </r>
  <r>
    <x v="0"/>
    <d v="2025-01-17T00:00:00"/>
    <s v="DBCR 25413 S/CR TASA GRAL"/>
    <m/>
    <n v="3939.88"/>
    <n v="0"/>
    <n v="-3939.88"/>
    <n v="-5957163.1500000004"/>
    <n v="1140"/>
    <n v="3.4560350877192985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0"/>
    <d v="2025-01-20T00:00:00"/>
    <s v="CHEQUE P/CAMARA"/>
    <s v="N51936045"/>
    <n v="142300"/>
    <n v="0"/>
    <n v="-142300"/>
    <n v="-6099463.1500000004"/>
    <n v="1140"/>
    <n v="124.82456140350877"/>
    <n v="0"/>
    <s v="ARS"/>
    <s v="CC"/>
    <s v="MACRO"/>
    <x v="5"/>
    <x v="13"/>
    <x v="21"/>
    <s v="HACIENDA"/>
    <s v="LA YUNTA VET"/>
    <s v="FA 604"/>
    <x v="4"/>
    <m/>
    <s v="24/25"/>
    <s v="BIENES Y SERVICIOS"/>
    <s v="EFECTIVO Y OTROS ACT LÍQ EQ."/>
  </r>
  <r>
    <x v="0"/>
    <d v="2025-01-20T00:00:00"/>
    <s v="TRANSF G Y E SA 30708920882 VAR VARIOS 161104"/>
    <m/>
    <n v="0"/>
    <n v="200000"/>
    <n v="200000"/>
    <n v="-5899463.1500000004"/>
    <n v="1140"/>
    <n v="0"/>
    <n v="175.43859649122808"/>
    <s v="ARS"/>
    <s v="CC"/>
    <s v="MACRO"/>
    <x v="0"/>
    <x v="0"/>
    <x v="0"/>
    <s v="DESDE PAMPA"/>
    <m/>
    <m/>
    <x v="0"/>
    <m/>
    <s v="24/25"/>
    <m/>
    <m/>
  </r>
  <r>
    <x v="0"/>
    <d v="2025-01-20T00:00:00"/>
    <s v="TRANSF G Y E SA 30708920882 VAR VARIOS 161104"/>
    <m/>
    <n v="0"/>
    <n v="1100000"/>
    <n v="1100000"/>
    <n v="-4799463.1500000004"/>
    <n v="1140"/>
    <n v="0"/>
    <n v="964.91228070175441"/>
    <s v="ARS"/>
    <s v="CC"/>
    <s v="MACRO"/>
    <x v="0"/>
    <x v="0"/>
    <x v="0"/>
    <s v="DESDE PAMPA"/>
    <m/>
    <m/>
    <x v="0"/>
    <m/>
    <s v="24/25"/>
    <m/>
    <m/>
  </r>
  <r>
    <x v="0"/>
    <d v="2025-01-20T00:00:00"/>
    <s v="SANCORSEG - SANCOR SEGUROS"/>
    <m/>
    <n v="4345"/>
    <n v="0"/>
    <n v="-4345"/>
    <n v="-4803808.1500000004"/>
    <n v="1140"/>
    <n v="3.8114035087719298"/>
    <n v="0"/>
    <s v="ARS"/>
    <s v="CC"/>
    <s v="MACRO"/>
    <x v="1"/>
    <x v="7"/>
    <x v="9"/>
    <s v="SANCOR SEGUROS"/>
    <m/>
    <m/>
    <x v="1"/>
    <m/>
    <s v="24/25"/>
    <s v="EGRESOS"/>
    <s v="EFECTIVO Y OTROS ACT LÍQ EQ."/>
  </r>
  <r>
    <x v="0"/>
    <d v="2025-01-20T00:00:00"/>
    <s v="DEBITO FISCAL IVA BASICO"/>
    <m/>
    <n v="2383.5"/>
    <n v="0"/>
    <n v="-2383.5"/>
    <n v="-4806191.6500000004"/>
    <n v="1140"/>
    <n v="2.0907894736842105"/>
    <n v="0"/>
    <s v="ARS"/>
    <s v="CC"/>
    <s v="MACRO"/>
    <x v="1"/>
    <x v="1"/>
    <x v="1"/>
    <s v="DEBITO IVA FISCAL"/>
    <m/>
    <m/>
    <x v="1"/>
    <m/>
    <s v="24/25"/>
    <s v="EGRESOS"/>
    <s v="EFECTIVO Y OTROS ACT LÍQ EQ."/>
  </r>
  <r>
    <x v="0"/>
    <d v="2025-01-20T00:00:00"/>
    <s v="DEBITO FISCAL IVA PERCEPCION"/>
    <m/>
    <n v="340.5"/>
    <n v="0"/>
    <n v="-340.5"/>
    <n v="-4806532.1500000004"/>
    <n v="1140"/>
    <n v="0.29868421052631577"/>
    <n v="0"/>
    <s v="ARS"/>
    <s v="CC"/>
    <s v="MACRO"/>
    <x v="1"/>
    <x v="1"/>
    <x v="1"/>
    <s v="IVA PERCEPCION"/>
    <m/>
    <m/>
    <x v="1"/>
    <m/>
    <s v="24/25"/>
    <s v="EGRESOS"/>
    <s v="EFECTIVO Y OTROS ACT LÍQ EQ."/>
  </r>
  <r>
    <x v="0"/>
    <d v="2025-01-20T00:00:00"/>
    <s v="COMISION CHEQUE CONSULTA"/>
    <m/>
    <n v="11350"/>
    <n v="0"/>
    <n v="-11350"/>
    <n v="-4817882.1500000004"/>
    <n v="1140"/>
    <n v="9.9561403508771935"/>
    <n v="0"/>
    <s v="ARS"/>
    <s v="CC"/>
    <s v="MACRO"/>
    <x v="1"/>
    <x v="7"/>
    <x v="9"/>
    <m/>
    <m/>
    <m/>
    <x v="1"/>
    <m/>
    <s v="24/25"/>
    <s v="EGRESOS"/>
    <s v="EFECTIVO Y OTROS ACT LÍQ EQ."/>
  </r>
  <r>
    <x v="0"/>
    <d v="2025-01-20T00:00:00"/>
    <s v="DBCR 25413 S/CR TASA GRAL"/>
    <m/>
    <n v="964.31"/>
    <n v="0"/>
    <n v="-964.31"/>
    <n v="-4818846.46"/>
    <n v="1140"/>
    <n v="0.84588596491228063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0"/>
    <d v="2025-01-21T00:00:00"/>
    <s v="DGR FINANZAS CBA"/>
    <m/>
    <n v="1173709"/>
    <n v="0"/>
    <n v="-1173709"/>
    <n v="-5992555.46"/>
    <n v="1140"/>
    <n v="1029.5692982456139"/>
    <n v="0"/>
    <s v="ARS"/>
    <s v="CC"/>
    <s v="MACRO"/>
    <x v="1"/>
    <x v="1"/>
    <x v="1"/>
    <s v="CUOTA 2/6"/>
    <s v="RENTAS"/>
    <m/>
    <x v="19"/>
    <m/>
    <s v="24/25"/>
    <s v="EGRESOS"/>
    <s v="EFECTIVO Y OTROS ACT LÍQ EQ."/>
  </r>
  <r>
    <x v="0"/>
    <d v="2025-01-21T00:00:00"/>
    <s v="DBCR 25413 S/CR TASA GRAL"/>
    <m/>
    <n v="7042.25"/>
    <n v="0"/>
    <n v="-7042.25"/>
    <n v="-5999597.71"/>
    <n v="1140"/>
    <n v="6.1774122807017546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0"/>
    <d v="2025-01-22T00:00:00"/>
    <s v="DB/CR - COMEX- Suc.:811"/>
    <m/>
    <n v="0"/>
    <n v="25762930"/>
    <n v="25762930"/>
    <n v="19763332.289999999"/>
    <n v="1140"/>
    <n v="0"/>
    <n v="22599.061403508771"/>
    <s v="ARS"/>
    <s v="CC"/>
    <s v="MACRO"/>
    <x v="0"/>
    <x v="10"/>
    <x v="42"/>
    <s v="MACRO A SOLA FIRMA"/>
    <s v="MACRO"/>
    <m/>
    <x v="9"/>
    <m/>
    <s v="24/25"/>
    <s v="EFECTIVO Y OTROS ACT LÍQ EQ."/>
    <s v="CREDITOS MACRO"/>
  </r>
  <r>
    <x v="0"/>
    <d v="2025-01-23T00:00:00"/>
    <s v="TRANSF. MACRONLINE E-SET M/T"/>
    <m/>
    <n v="10000000"/>
    <n v="0"/>
    <n v="-10000000"/>
    <n v="9763332.2899999991"/>
    <n v="1140"/>
    <n v="8771.9298245614027"/>
    <n v="0"/>
    <s v="ARS"/>
    <s v="CC"/>
    <s v="MACRO"/>
    <x v="0"/>
    <x v="0"/>
    <x v="0"/>
    <s v="HACIA EL PAMPA"/>
    <m/>
    <m/>
    <x v="0"/>
    <m/>
    <s v="24/25"/>
    <m/>
    <m/>
  </r>
  <r>
    <x v="0"/>
    <d v="2025-01-23T00:00:00"/>
    <s v="COMISION TRF. MACROL E-SET"/>
    <m/>
    <n v="121"/>
    <n v="0"/>
    <n v="-121"/>
    <n v="9763211.2899999991"/>
    <n v="1140"/>
    <n v="0.10614035087719298"/>
    <n v="0"/>
    <s v="ARS"/>
    <s v="CC"/>
    <s v="MACRO"/>
    <x v="1"/>
    <x v="7"/>
    <x v="9"/>
    <m/>
    <m/>
    <m/>
    <x v="1"/>
    <m/>
    <s v="24/25"/>
    <s v="EGRESOS"/>
    <s v="EFECTIVO Y OTROS ACT LÍQ EQ."/>
  </r>
  <r>
    <x v="0"/>
    <d v="2025-01-23T00:00:00"/>
    <s v="TRANSF. MACRONLINE E-SET D/T"/>
    <m/>
    <n v="527450"/>
    <n v="0"/>
    <n v="-527450"/>
    <n v="9235761.2899999991"/>
    <n v="1140"/>
    <n v="462.67543859649123"/>
    <n v="0"/>
    <s v="ARS"/>
    <s v="CC"/>
    <s v="MACRO"/>
    <x v="1"/>
    <x v="3"/>
    <x v="3"/>
    <s v="VACACIONES"/>
    <s v="ANDRES TOLEDO"/>
    <m/>
    <x v="3"/>
    <m/>
    <s v="24/25"/>
    <s v="EGRESOS"/>
    <s v="EFECTIVO Y OTROS ACT LÍQ EQ."/>
  </r>
  <r>
    <x v="0"/>
    <d v="2025-01-23T00:00:00"/>
    <s v="COMISION TRF. MACROL E-SET"/>
    <m/>
    <n v="121"/>
    <n v="0"/>
    <n v="-121"/>
    <n v="9235640.2899999991"/>
    <n v="1140"/>
    <n v="0.10614035087719298"/>
    <n v="0"/>
    <s v="ARS"/>
    <s v="CC"/>
    <s v="MACRO"/>
    <x v="1"/>
    <x v="7"/>
    <x v="9"/>
    <m/>
    <m/>
    <m/>
    <x v="1"/>
    <m/>
    <s v="24/25"/>
    <s v="EGRESOS"/>
    <s v="EFECTIVO Y OTROS ACT LÍQ EQ."/>
  </r>
  <r>
    <x v="0"/>
    <d v="2025-01-23T00:00:00"/>
    <s v="TRANSF. MACRONLINE E-SET M/T"/>
    <m/>
    <n v="3000000"/>
    <n v="0"/>
    <n v="-3000000"/>
    <n v="6235640.29"/>
    <n v="1140"/>
    <n v="2631.5789473684213"/>
    <n v="0"/>
    <s v="ARS"/>
    <s v="CC"/>
    <s v="MACRO"/>
    <x v="0"/>
    <x v="0"/>
    <x v="0"/>
    <s v="HACIA EL NACION"/>
    <m/>
    <m/>
    <x v="0"/>
    <m/>
    <s v="24/25"/>
    <m/>
    <m/>
  </r>
  <r>
    <x v="0"/>
    <d v="2025-01-23T00:00:00"/>
    <s v="COMISION TRF. MACROL E-SET"/>
    <m/>
    <n v="121"/>
    <n v="0"/>
    <n v="-121"/>
    <n v="6235519.29"/>
    <n v="1140"/>
    <n v="0.10614035087719298"/>
    <n v="0"/>
    <s v="ARS"/>
    <s v="CC"/>
    <s v="MACRO"/>
    <x v="1"/>
    <x v="7"/>
    <x v="9"/>
    <m/>
    <m/>
    <m/>
    <x v="1"/>
    <m/>
    <s v="24/25"/>
    <s v="EGRESOS"/>
    <s v="EFECTIVO Y OTROS ACT LÍQ EQ."/>
  </r>
  <r>
    <x v="0"/>
    <d v="2025-01-23T00:00:00"/>
    <s v="TRANSF. MACRONLINE E-SET D/T"/>
    <m/>
    <n v="6000000"/>
    <n v="0"/>
    <n v="-6000000"/>
    <n v="235519.29"/>
    <n v="1140"/>
    <n v="5263.1578947368425"/>
    <n v="0"/>
    <s v="ARS"/>
    <s v="CC"/>
    <s v="MACRO"/>
    <x v="2"/>
    <x v="4"/>
    <x v="5"/>
    <s v="SIEMBRA"/>
    <s v="RODRIGUEZ ARIEL"/>
    <m/>
    <x v="5"/>
    <m/>
    <s v="24/25"/>
    <s v="BIENES Y SERVICIOS"/>
    <s v="EFECTIVO Y OTROS ACT LÍQ EQ."/>
  </r>
  <r>
    <x v="0"/>
    <d v="2025-01-23T00:00:00"/>
    <s v="COMISION TRF. MACROL E-SET"/>
    <m/>
    <n v="121"/>
    <n v="0"/>
    <n v="-121"/>
    <n v="235398.29"/>
    <n v="1140"/>
    <n v="0.10614035087719298"/>
    <n v="0"/>
    <s v="ARS"/>
    <s v="CC"/>
    <s v="MACRO"/>
    <x v="1"/>
    <x v="7"/>
    <x v="9"/>
    <m/>
    <m/>
    <m/>
    <x v="1"/>
    <m/>
    <s v="24/25"/>
    <s v="EGRESOS"/>
    <s v="EFECTIVO Y OTROS ACT LÍQ EQ."/>
  </r>
  <r>
    <x v="0"/>
    <d v="2025-01-23T00:00:00"/>
    <s v="DBCR 25413 S/CR TASA GRAL"/>
    <m/>
    <n v="39167.620000000003"/>
    <n v="0"/>
    <n v="-39167.620000000003"/>
    <n v="196230.67"/>
    <n v="1140"/>
    <n v="34.357561403508775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0"/>
    <d v="2025-01-24T00:00:00"/>
    <s v="TRANSF. MACRONLINE E-SET D/T"/>
    <m/>
    <n v="43551.81"/>
    <n v="0"/>
    <n v="-43551.81"/>
    <n v="152678.85999999999"/>
    <n v="1140"/>
    <n v="38.203342105263154"/>
    <n v="0"/>
    <s v="ARS"/>
    <s v="CC"/>
    <s v="MACRO"/>
    <x v="3"/>
    <x v="5"/>
    <x v="7"/>
    <s v="INSUMOS PARA PILETA"/>
    <s v="SUR SANITARIOS"/>
    <s v="FA 6278, 79"/>
    <x v="6"/>
    <m/>
    <s v="25/26"/>
    <s v="BIENES Y SERVICIOS"/>
    <s v="EFECTIVO Y OTROS ACT LÍQ EQ."/>
  </r>
  <r>
    <x v="0"/>
    <d v="2025-01-24T00:00:00"/>
    <s v="TRANSF. MACRONLINE E-SET D/T"/>
    <m/>
    <n v="123000"/>
    <n v="0"/>
    <n v="-123000"/>
    <n v="29678.86"/>
    <n v="1140"/>
    <n v="107.89473684210526"/>
    <n v="0"/>
    <s v="ARS"/>
    <s v="CC"/>
    <s v="MACRO"/>
    <x v="3"/>
    <x v="8"/>
    <x v="35"/>
    <s v="TRASLADO A REALICO"/>
    <s v="MEDERO"/>
    <s v="FA152"/>
    <x v="5"/>
    <m/>
    <s v="24/25"/>
    <s v="BIENES Y SERVICIOS"/>
    <s v="EFECTIVO Y OTROS ACT LÍQ EQ."/>
  </r>
  <r>
    <x v="0"/>
    <d v="2025-01-24T00:00:00"/>
    <s v="DBCR 25413 S/CR TASA GRAL"/>
    <m/>
    <n v="999.31"/>
    <n v="0"/>
    <n v="-999.31"/>
    <n v="28679.55"/>
    <n v="1140"/>
    <n v="0.87658771929824553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0"/>
    <d v="2025-01-27T00:00:00"/>
    <s v="TRANSF. MACRONLINE E-SET D/T"/>
    <m/>
    <n v="10113"/>
    <n v="0"/>
    <n v="-10113"/>
    <n v="-581433.44999999995"/>
    <n v="1140"/>
    <n v="8.871052631578948"/>
    <n v="0"/>
    <s v="ARS"/>
    <s v="CC"/>
    <s v="MACRO"/>
    <x v="1"/>
    <x v="3"/>
    <x v="13"/>
    <s v="ENCOMIENDA MACRO Y SEGURO EMPLEADO"/>
    <m/>
    <m/>
    <x v="3"/>
    <m/>
    <s v="24/25"/>
    <s v="BIENES Y SERVICIOS"/>
    <s v="EFECTIVO Y OTROS ACT LÍQ EQ."/>
  </r>
  <r>
    <x v="0"/>
    <d v="2025-01-27T00:00:00"/>
    <s v="TRANSF. MACRONLINE E-SET D/T"/>
    <m/>
    <n v="100000"/>
    <n v="0"/>
    <n v="-100000"/>
    <n v="-1191546.45"/>
    <n v="1140"/>
    <n v="87.719298245614041"/>
    <n v="0"/>
    <s v="ARS"/>
    <s v="CC"/>
    <s v="MACRO"/>
    <x v="1"/>
    <x v="3"/>
    <x v="13"/>
    <s v="ENTREGA A EMPL CAMPO"/>
    <s v="MATIAS LUCERO"/>
    <m/>
    <x v="3"/>
    <m/>
    <s v="24/25"/>
    <s v="EGRESOS"/>
    <s v="EFECTIVO Y OTROS ACT LÍQ EQ."/>
  </r>
  <r>
    <x v="0"/>
    <d v="2025-01-27T00:00:00"/>
    <s v="TRANSF. MACRONLINE E-SET D/T"/>
    <m/>
    <n v="500000"/>
    <n v="0"/>
    <n v="-500000"/>
    <n v="-581433.44999999995"/>
    <n v="1140"/>
    <n v="438.59649122807019"/>
    <n v="0"/>
    <s v="ARS"/>
    <s v="CC"/>
    <s v="MACRO"/>
    <x v="2"/>
    <x v="4"/>
    <x v="5"/>
    <s v="SOJA PRESTADA ANTERIOR"/>
    <s v="DAVI ARMANDO"/>
    <m/>
    <x v="7"/>
    <m/>
    <s v="23/24"/>
    <s v="EGRESOS"/>
    <s v="EFECTIVO Y OTROS ACT LÍQ EQ."/>
  </r>
  <r>
    <x v="0"/>
    <d v="2025-01-27T00:00:00"/>
    <s v="COMISION TRF. MACROL E-SET"/>
    <m/>
    <n v="121"/>
    <n v="0"/>
    <n v="-121"/>
    <n v="-581554.44999999995"/>
    <n v="1140"/>
    <n v="0.10614035087719298"/>
    <n v="0"/>
    <s v="ARS"/>
    <s v="CC"/>
    <s v="MACRO"/>
    <x v="1"/>
    <x v="7"/>
    <x v="9"/>
    <m/>
    <m/>
    <m/>
    <x v="1"/>
    <m/>
    <s v="24/25"/>
    <s v="EGRESOS"/>
    <s v="EFECTIVO Y OTROS ACT LÍQ EQ."/>
  </r>
  <r>
    <x v="0"/>
    <d v="2025-01-27T00:00:00"/>
    <s v="DEBITO FISCAL IVA BASICO"/>
    <m/>
    <n v="1650.6"/>
    <n v="0"/>
    <n v="-1650.6"/>
    <n v="-583205.05000000005"/>
    <n v="1140"/>
    <n v="1.4478947368421051"/>
    <n v="0"/>
    <s v="ARS"/>
    <s v="CC"/>
    <s v="MACRO"/>
    <x v="1"/>
    <x v="1"/>
    <x v="1"/>
    <s v="DEBITO IVA FISCAL"/>
    <m/>
    <m/>
    <x v="1"/>
    <m/>
    <s v="24/25"/>
    <s v="EGRESOS"/>
    <s v="EFECTIVO Y OTROS ACT LÍQ EQ."/>
  </r>
  <r>
    <x v="0"/>
    <d v="2025-01-27T00:00:00"/>
    <s v="DEBITO FISCAL IVA PERCEPCION"/>
    <m/>
    <n v="235.8"/>
    <n v="0"/>
    <n v="-235.8"/>
    <n v="-583440.85"/>
    <n v="1140"/>
    <n v="0.20684210526315791"/>
    <n v="0"/>
    <s v="ARS"/>
    <s v="CC"/>
    <s v="MACRO"/>
    <x v="1"/>
    <x v="1"/>
    <x v="1"/>
    <s v="IVA PERCEPCION"/>
    <m/>
    <m/>
    <x v="1"/>
    <m/>
    <s v="24/25"/>
    <s v="EGRESOS"/>
    <s v="EFECTIVO Y OTROS ACT LÍQ EQ."/>
  </r>
  <r>
    <x v="0"/>
    <d v="2025-01-27T00:00:00"/>
    <s v="COMISION CHQ PAG CLEARING"/>
    <m/>
    <n v="7860"/>
    <n v="0"/>
    <n v="-7860"/>
    <n v="-591300.85"/>
    <n v="1140"/>
    <n v="6.8947368421052628"/>
    <n v="0"/>
    <s v="ARS"/>
    <s v="CC"/>
    <s v="MACRO"/>
    <x v="1"/>
    <x v="7"/>
    <x v="9"/>
    <m/>
    <m/>
    <m/>
    <x v="1"/>
    <m/>
    <s v="24/25"/>
    <s v="EGRESOS"/>
    <s v="EFECTIVO Y OTROS ACT LÍQ EQ."/>
  </r>
  <r>
    <x v="0"/>
    <d v="2025-01-27T00:00:00"/>
    <s v="DBCR 25413 S/CR TASA GRAL"/>
    <m/>
    <n v="3719.89"/>
    <n v="0"/>
    <n v="-3719.89"/>
    <n v="-595020.74"/>
    <n v="1140"/>
    <n v="3.2630614035087717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0"/>
    <d v="2025-01-28T00:00:00"/>
    <s v="TRANSF. MACRONLINE E-SET D/T"/>
    <m/>
    <n v="15604.38"/>
    <n v="0"/>
    <n v="-15604.38"/>
    <n v="-610625.12"/>
    <n v="1140"/>
    <n v="13.688052631578946"/>
    <n v="0"/>
    <s v="ARS"/>
    <s v="CC"/>
    <s v="MACRO"/>
    <x v="3"/>
    <x v="5"/>
    <x v="7"/>
    <s v="INSUMOS PARA PILETA"/>
    <s v="SUR SANITARIOS"/>
    <s v="FA 6295"/>
    <x v="6"/>
    <m/>
    <s v="25/26"/>
    <s v="BIENES Y SERVICIOS"/>
    <s v="EFECTIVO Y OTROS ACT LÍQ EQ."/>
  </r>
  <r>
    <x v="0"/>
    <d v="2025-01-28T00:00:00"/>
    <s v="TRANSF:2501280000839698783283-20445501205"/>
    <m/>
    <n v="143000"/>
    <n v="0"/>
    <n v="-143000"/>
    <n v="-753625.12"/>
    <n v="1140"/>
    <n v="125.43859649122807"/>
    <n v="0"/>
    <s v="ARS"/>
    <s v="CC"/>
    <s v="MACRO"/>
    <x v="4"/>
    <x v="18"/>
    <x v="43"/>
    <s v="ESQUILADO"/>
    <s v="COLO BUSTOS"/>
    <m/>
    <x v="1"/>
    <m/>
    <s v="24/25"/>
    <s v="EGRESOS"/>
    <s v="EFECTIVO Y OTROS ACT LÍQ EQ."/>
  </r>
  <r>
    <x v="0"/>
    <d v="2025-01-28T00:00:00"/>
    <s v="DBCR 25413 S/CR TASA GRAL"/>
    <m/>
    <n v="951.63"/>
    <n v="0"/>
    <n v="-951.63"/>
    <n v="-754576.75"/>
    <n v="1140"/>
    <n v="0.83476315789473687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0"/>
    <d v="2025-01-29T00:00:00"/>
    <s v="CHEQUE P/CAMARA"/>
    <s v="N54213938"/>
    <n v="839778"/>
    <n v="0"/>
    <n v="-839778"/>
    <n v="-1594354.75"/>
    <n v="1140"/>
    <n v="736.64736842105265"/>
    <n v="0"/>
    <s v="ARS"/>
    <s v="CC"/>
    <s v="MACRO"/>
    <x v="2"/>
    <x v="4"/>
    <x v="5"/>
    <s v="APLICACIONES"/>
    <s v="CLERICI JUAN PABLO"/>
    <s v="FA 0123"/>
    <x v="4"/>
    <m/>
    <s v="23/24"/>
    <s v="BIENES Y SERVICIOS"/>
    <s v="EFECTIVO Y OTROS ACT LÍQ EQ."/>
  </r>
  <r>
    <x v="0"/>
    <d v="2025-01-29T00:00:00"/>
    <s v="DBCR 25413 S/CR TASA GRAL"/>
    <m/>
    <n v="5038.67"/>
    <n v="0"/>
    <n v="-5038.67"/>
    <n v="-1599393.42"/>
    <n v="1140"/>
    <n v="4.4198859649122806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0"/>
    <d v="2025-01-30T00:00:00"/>
    <s v="DB TR..AUT.SDO.MISMO TIT."/>
    <m/>
    <n v="45157.33"/>
    <n v="0"/>
    <n v="-45157.33"/>
    <n v="-1644550.75"/>
    <n v="1140"/>
    <n v="39.611692982456141"/>
    <n v="0"/>
    <s v="ARS"/>
    <s v="CC"/>
    <s v="MACRO"/>
    <x v="0"/>
    <x v="0"/>
    <x v="0"/>
    <s v="HACIA LA CA"/>
    <m/>
    <m/>
    <x v="0"/>
    <m/>
    <s v="24/25"/>
    <m/>
    <m/>
  </r>
  <r>
    <x v="1"/>
    <d v="2025-02-03T00:00:00"/>
    <s v="DEBITO FISCAL IVA BASICO"/>
    <m/>
    <n v="16628.12"/>
    <n v="0"/>
    <n v="-16628.12"/>
    <n v="-1661178.87"/>
    <n v="1140"/>
    <n v="14.586070175438596"/>
    <n v="0"/>
    <s v="ARS"/>
    <s v="CC"/>
    <s v="MACRO"/>
    <x v="1"/>
    <x v="1"/>
    <x v="1"/>
    <s v="DEBITO IVA FISCAL"/>
    <m/>
    <m/>
    <x v="1"/>
    <m/>
    <s v="24/25"/>
    <s v="EGRESOS"/>
    <s v="EFECTIVO Y OTROS ACT LÍQ EQ."/>
  </r>
  <r>
    <x v="1"/>
    <d v="2025-02-03T00:00:00"/>
    <s v="DEBITO FISCAL IVA PERCEPCION"/>
    <m/>
    <n v="2375.4499999999998"/>
    <n v="0"/>
    <n v="-2375.4499999999998"/>
    <n v="-1663554.32"/>
    <n v="1140"/>
    <n v="2.0837280701754386"/>
    <n v="0"/>
    <s v="ARS"/>
    <s v="CC"/>
    <s v="MACRO"/>
    <x v="1"/>
    <x v="1"/>
    <x v="1"/>
    <s v="IVA PERCEPCION"/>
    <m/>
    <m/>
    <x v="1"/>
    <m/>
    <s v="24/25"/>
    <s v="EGRESOS"/>
    <s v="EFECTIVO Y OTROS ACT LÍQ EQ."/>
  </r>
  <r>
    <x v="1"/>
    <d v="2025-02-03T00:00:00"/>
    <s v="INTER.ADEL.CC C/ACUERD"/>
    <m/>
    <n v="158363.03"/>
    <n v="0"/>
    <n v="-158363.03"/>
    <n v="-1821917.35"/>
    <n v="1140"/>
    <n v="138.91493859649123"/>
    <n v="0"/>
    <s v="ARS"/>
    <s v="CC"/>
    <s v="MACRO"/>
    <x v="1"/>
    <x v="6"/>
    <x v="8"/>
    <s v="ACUERDO"/>
    <m/>
    <m/>
    <x v="1"/>
    <m/>
    <s v="24/25"/>
    <s v="EGRESOS"/>
    <s v="EFECTIVO Y OTROS ACT LÍQ EQ."/>
  </r>
  <r>
    <x v="1"/>
    <d v="2025-02-03T00:00:00"/>
    <s v="CHEQUE P/CAMARA"/>
    <s v="N53810327"/>
    <n v="572221"/>
    <n v="0"/>
    <n v="-572221"/>
    <n v="-2394138.35"/>
    <n v="1140"/>
    <n v="501.9482456140351"/>
    <n v="0"/>
    <s v="ARS"/>
    <s v="CC"/>
    <s v="MACRO"/>
    <x v="3"/>
    <x v="14"/>
    <x v="44"/>
    <m/>
    <s v="TRIVERO"/>
    <s v="FA144"/>
    <x v="6"/>
    <m/>
    <s v="24/25"/>
    <s v="BIENES Y SERVICIOS"/>
    <s v="EFECTIVO Y OTROS ACT LÍQ EQ."/>
  </r>
  <r>
    <x v="1"/>
    <d v="2025-02-03T00:00:00"/>
    <s v="CHEQUE CANJE INTERNO"/>
    <s v="N54623173"/>
    <n v="1352462"/>
    <n v="0"/>
    <n v="-1352462"/>
    <n v="-3746600.35"/>
    <n v="1140"/>
    <n v="1186.3701754385966"/>
    <n v="0"/>
    <s v="ARS"/>
    <s v="CC"/>
    <s v="MACRO"/>
    <x v="5"/>
    <x v="13"/>
    <x v="36"/>
    <s v="HACIENDA"/>
    <s v="TODO CAMPO COMB"/>
    <s v="N7084"/>
    <x v="6"/>
    <m/>
    <s v="24/25"/>
    <s v="BIENES Y SERVICIOS"/>
    <s v="EFECTIVO Y OTROS ACT LÍQ EQ."/>
  </r>
  <r>
    <x v="1"/>
    <d v="2025-02-03T00:00:00"/>
    <s v="DGR SELLOS CORDOBA"/>
    <m/>
    <n v="4230.3999999999996"/>
    <n v="0"/>
    <n v="-4230.3999999999996"/>
    <n v="-3750830.75"/>
    <n v="1140"/>
    <n v="3.7108771929824558"/>
    <n v="0"/>
    <s v="ARS"/>
    <s v="CC"/>
    <s v="MACRO"/>
    <x v="1"/>
    <x v="1"/>
    <x v="1"/>
    <s v="SELLOS"/>
    <m/>
    <m/>
    <x v="1"/>
    <m/>
    <s v="24/25"/>
    <s v="EGRESOS"/>
    <s v="EFECTIVO Y OTROS ACT LÍQ EQ."/>
  </r>
  <r>
    <x v="1"/>
    <d v="2025-02-03T00:00:00"/>
    <s v="DBCR 25413 S/CR TASA GRAL"/>
    <m/>
    <n v="12637.68"/>
    <n v="0"/>
    <n v="-12637.68"/>
    <n v="-3763468.43"/>
    <n v="1140"/>
    <n v="11.085684210526317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1"/>
    <d v="2025-02-04T00:00:00"/>
    <s v="CHEQUE P/CAMARA"/>
    <s v="N54382306"/>
    <n v="102000"/>
    <n v="0"/>
    <n v="-102000"/>
    <n v="-3865468.43"/>
    <n v="1140"/>
    <n v="89.473684210526315"/>
    <n v="0"/>
    <s v="ARS"/>
    <s v="CC"/>
    <s v="MACRO"/>
    <x v="3"/>
    <x v="8"/>
    <x v="7"/>
    <s v="ARREGLO CUB AUX"/>
    <s v="GOMERIA GONZALEZ"/>
    <m/>
    <x v="7"/>
    <m/>
    <s v="23/24"/>
    <s v="BIENES DE USO"/>
    <s v="EFECTIVO Y OTROS ACT LÍQ EQ."/>
  </r>
  <r>
    <x v="1"/>
    <d v="2025-02-04T00:00:00"/>
    <s v="DBCR 25413 S/CR TASA GRAL"/>
    <m/>
    <n v="612"/>
    <n v="0"/>
    <n v="-612"/>
    <n v="-3866080.43"/>
    <n v="1140"/>
    <n v="0.5368421052631579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1"/>
    <d v="2025-02-05T00:00:00"/>
    <s v="CHEQUE CANJE INTERNO"/>
    <s v="N53810330"/>
    <n v="124953.45"/>
    <n v="0"/>
    <n v="-124953.45"/>
    <n v="-3991033.88"/>
    <n v="1140"/>
    <n v="109.60828947368421"/>
    <n v="0"/>
    <s v="ARS"/>
    <s v="CC"/>
    <s v="MACRO"/>
    <x v="3"/>
    <x v="5"/>
    <x v="7"/>
    <m/>
    <s v="FERRRETERIA BULTOR"/>
    <s v="FA216"/>
    <x v="6"/>
    <m/>
    <s v="24/25"/>
    <s v="BIENES Y SERVICIOS"/>
    <s v="EFECTIVO Y OTROS ACT LÍQ EQ."/>
  </r>
  <r>
    <x v="1"/>
    <d v="2025-02-05T00:00:00"/>
    <s v="TRANSF. MACRONLINE E-SET D/T"/>
    <m/>
    <n v="26729"/>
    <n v="0"/>
    <n v="-26729"/>
    <n v="-4017762.88"/>
    <n v="1140"/>
    <n v="23.446491228070176"/>
    <n v="0"/>
    <s v="ARS"/>
    <s v="CC"/>
    <s v="MACRO"/>
    <x v="3"/>
    <x v="5"/>
    <x v="7"/>
    <s v="ELECT CASA"/>
    <s v="COOPERATIVA ELC"/>
    <m/>
    <x v="6"/>
    <m/>
    <s v="24/25"/>
    <s v="EGRESOS"/>
    <s v="EFECTIVO Y OTROS ACT LÍQ EQ."/>
  </r>
  <r>
    <x v="1"/>
    <d v="2025-02-05T00:00:00"/>
    <s v="DBCR 25413 S/CR TASA GRAL"/>
    <m/>
    <n v="910.09"/>
    <n v="0"/>
    <n v="-910.09"/>
    <n v="-4018672.97"/>
    <n v="1140"/>
    <n v="0.79832456140350883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1"/>
    <d v="2025-02-07T00:00:00"/>
    <s v="DB TR..AUT.SDO.MISMO TIT."/>
    <m/>
    <n v="973871.04"/>
    <n v="0"/>
    <n v="-973871.04"/>
    <n v="-4992544.01"/>
    <n v="1140"/>
    <n v="854.27284210526318"/>
    <n v="0"/>
    <s v="ARS"/>
    <s v="CC"/>
    <s v="MACRO"/>
    <x v="0"/>
    <x v="0"/>
    <x v="0"/>
    <s v="HACIA LA CA"/>
    <m/>
    <m/>
    <x v="0"/>
    <m/>
    <s v="24/25"/>
    <m/>
    <m/>
  </r>
  <r>
    <x v="1"/>
    <d v="2025-02-10T00:00:00"/>
    <s v="TRANSF G Y E SA 30708920882 VAR VARIOS 161104"/>
    <m/>
    <n v="0"/>
    <n v="3000000"/>
    <n v="3000000"/>
    <n v="-1992544.01"/>
    <n v="1140"/>
    <n v="0"/>
    <n v="2631.5789473684213"/>
    <s v="ARS"/>
    <s v="CC"/>
    <s v="MACRO"/>
    <x v="0"/>
    <x v="0"/>
    <x v="0"/>
    <s v="DESDE EL PAMPA"/>
    <m/>
    <m/>
    <x v="0"/>
    <m/>
    <s v="24/25"/>
    <m/>
    <m/>
  </r>
  <r>
    <x v="1"/>
    <d v="2025-02-10T00:00:00"/>
    <s v="TRANSF. MACRONLINE E-SET D/T"/>
    <m/>
    <n v="1000000"/>
    <n v="0"/>
    <n v="-1000000"/>
    <n v="-2992544.01"/>
    <n v="1140"/>
    <n v="877.19298245614038"/>
    <n v="0"/>
    <s v="ARS"/>
    <s v="CC"/>
    <s v="MACRO"/>
    <x v="1"/>
    <x v="2"/>
    <x v="2"/>
    <m/>
    <s v="RAUL"/>
    <m/>
    <x v="2"/>
    <s v="RAUL"/>
    <s v="24/25"/>
    <s v="FUTURAS UT. ADL RAUL"/>
    <s v="EFECTIVO Y OTROS ACT LÍQ EQ."/>
  </r>
  <r>
    <x v="1"/>
    <d v="2025-02-10T00:00:00"/>
    <s v="COMISION TRF. MACROL E-SET"/>
    <m/>
    <n v="121"/>
    <n v="0"/>
    <n v="-121"/>
    <n v="-2992665.01"/>
    <n v="1140"/>
    <n v="0.10614035087719298"/>
    <n v="0"/>
    <s v="ARS"/>
    <s v="CC"/>
    <s v="MACRO"/>
    <x v="1"/>
    <x v="7"/>
    <x v="9"/>
    <m/>
    <m/>
    <m/>
    <x v="1"/>
    <m/>
    <s v="24/25"/>
    <s v="EGRESOS"/>
    <s v="EFECTIVO Y OTROS ACT LÍQ EQ."/>
  </r>
  <r>
    <x v="1"/>
    <d v="2025-02-10T00:00:00"/>
    <s v="DGR FINANZAS CBA"/>
    <m/>
    <n v="1173708.99"/>
    <n v="0"/>
    <n v="-1173708.99"/>
    <n v="-4166374"/>
    <n v="1140"/>
    <n v="1029.5692894736842"/>
    <n v="0"/>
    <s v="ARS"/>
    <s v="CC"/>
    <s v="MACRO"/>
    <x v="1"/>
    <x v="1"/>
    <x v="1"/>
    <s v="CUOTA 3/6"/>
    <s v="RENTAS"/>
    <m/>
    <x v="19"/>
    <m/>
    <s v="24/25"/>
    <s v="EGRESOS"/>
    <s v="EFECTIVO Y OTROS ACT LÍQ EQ."/>
  </r>
  <r>
    <x v="1"/>
    <d v="2025-02-10T00:00:00"/>
    <s v="DBCR 25413 S/CR TASA GRAL"/>
    <m/>
    <n v="13042.98"/>
    <n v="0"/>
    <n v="-13042.98"/>
    <n v="-4179416.98"/>
    <n v="1140"/>
    <n v="11.441210526315789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1"/>
    <d v="2025-02-11T00:00:00"/>
    <s v="CHEQUE CANJE INTERNO"/>
    <s v="N53810333"/>
    <n v="642010"/>
    <n v="0"/>
    <n v="-642010"/>
    <n v="-4821426.9800000004"/>
    <n v="1140"/>
    <n v="563.16666666666663"/>
    <n v="0"/>
    <s v="ARS"/>
    <s v="CC"/>
    <s v="MACRO"/>
    <x v="3"/>
    <x v="5"/>
    <x v="30"/>
    <m/>
    <s v="MERLO"/>
    <m/>
    <x v="6"/>
    <m/>
    <s v="24/25"/>
    <s v="BIENES Y SERVICIOS"/>
    <s v="EFECTIVO Y OTROS ACT LÍQ EQ."/>
  </r>
  <r>
    <x v="1"/>
    <d v="2025-02-11T00:00:00"/>
    <s v="DBCR 25413 S/CR TASA GRAL"/>
    <m/>
    <n v="3852.06"/>
    <n v="0"/>
    <n v="-3852.06"/>
    <n v="-4825279.04"/>
    <n v="1140"/>
    <n v="3.379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1"/>
    <d v="2025-02-13T00:00:00"/>
    <s v="CHEQUE P/CAMARA"/>
    <n v="51936050"/>
    <n v="713000"/>
    <n v="0"/>
    <n v="-713000"/>
    <n v="-5538279.04"/>
    <n v="1140"/>
    <n v="625.43859649122805"/>
    <n v="0"/>
    <s v="ARS"/>
    <s v="CC"/>
    <s v="MACRO"/>
    <x v="2"/>
    <x v="4"/>
    <x v="5"/>
    <s v="EXTRACCION"/>
    <s v="DANI PEREYRA"/>
    <m/>
    <x v="5"/>
    <m/>
    <s v="24/25"/>
    <s v="BIENES Y SERVICIOS"/>
    <s v="EFECTIVO Y OTROS ACT LÍQ EQ."/>
  </r>
  <r>
    <x v="1"/>
    <d v="2025-02-13T00:00:00"/>
    <s v="TRANSF. MACRONLINE E-SET D/T"/>
    <m/>
    <n v="381312"/>
    <n v="0"/>
    <n v="-381312"/>
    <n v="-5919591.04"/>
    <n v="1140"/>
    <n v="334.48421052631579"/>
    <n v="0"/>
    <s v="ARS"/>
    <s v="CC"/>
    <s v="MACRO"/>
    <x v="1"/>
    <x v="7"/>
    <x v="45"/>
    <s v="ABOGADA"/>
    <s v="QUARANTA CARLOS"/>
    <m/>
    <x v="6"/>
    <m/>
    <s v="24/25"/>
    <s v="BIENES Y SERVICIOS"/>
    <s v="EFECTIVO Y OTROS ACT LÍQ EQ."/>
  </r>
  <r>
    <x v="1"/>
    <d v="2025-02-13T00:00:00"/>
    <s v="COMISION TRF. MACROL E-SET"/>
    <m/>
    <n v="121"/>
    <n v="0"/>
    <n v="-121"/>
    <n v="-5919712.04"/>
    <n v="1140"/>
    <n v="0.10614035087719298"/>
    <n v="0"/>
    <s v="ARS"/>
    <s v="CC"/>
    <s v="MACRO"/>
    <x v="1"/>
    <x v="7"/>
    <x v="9"/>
    <m/>
    <m/>
    <m/>
    <x v="1"/>
    <m/>
    <s v="24/25"/>
    <s v="EGRESOS"/>
    <s v="EFECTIVO Y OTROS ACT LÍQ EQ."/>
  </r>
  <r>
    <x v="1"/>
    <d v="2025-02-13T00:00:00"/>
    <s v="DBCR 25413 S/CR TASA GRAL"/>
    <m/>
    <n v="6566.6"/>
    <n v="0"/>
    <n v="-6566.6"/>
    <n v="-5926278.6399999997"/>
    <n v="1140"/>
    <n v="5.7601754385964918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1"/>
    <d v="2025-02-14T00:00:00"/>
    <s v="TRANSF 30708920882 VAR 190181700002"/>
    <m/>
    <n v="0"/>
    <n v="2000000"/>
    <n v="2000000"/>
    <n v="-3926278.64"/>
    <n v="1140"/>
    <n v="0"/>
    <n v="1754.3859649122808"/>
    <s v="ARS"/>
    <s v="CC"/>
    <s v="MACRO"/>
    <x v="0"/>
    <x v="0"/>
    <x v="0"/>
    <s v="DESDE EL PAMPA"/>
    <m/>
    <m/>
    <x v="0"/>
    <m/>
    <s v="24/25"/>
    <m/>
    <m/>
  </r>
  <r>
    <x v="1"/>
    <d v="2025-02-14T00:00:00"/>
    <s v="TRANSF. MACRONLINE E-SET D/T"/>
    <m/>
    <n v="238670"/>
    <n v="0"/>
    <n v="-238670"/>
    <n v="-4164948.64"/>
    <n v="1140"/>
    <n v="209.35964912280701"/>
    <n v="0"/>
    <s v="ARS"/>
    <s v="CC"/>
    <s v="MACRO"/>
    <x v="3"/>
    <x v="8"/>
    <x v="46"/>
    <s v="INYECTORES"/>
    <s v="VCA REPUESTOS"/>
    <m/>
    <x v="6"/>
    <m/>
    <s v="24/25"/>
    <s v="BIENES DE USO"/>
    <s v="EFECTIVO Y OTROS ACT LÍQ EQ."/>
  </r>
  <r>
    <x v="1"/>
    <d v="2025-02-14T00:00:00"/>
    <s v="DBCR 25413 S/CR TASA GRAL"/>
    <m/>
    <n v="1432.02"/>
    <n v="0"/>
    <n v="-1432.02"/>
    <n v="-4166380.66"/>
    <n v="1140"/>
    <n v="1.2561578947368421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1"/>
    <d v="2025-02-18T00:00:00"/>
    <s v="CHEQUE P/CAMARA"/>
    <s v="N53810345"/>
    <n v="189690.23999999999"/>
    <n v="0"/>
    <n v="-189690.23999999999"/>
    <n v="-4356070.9000000004"/>
    <n v="1140"/>
    <n v="166.39494736842104"/>
    <n v="0"/>
    <s v="ARS"/>
    <s v="CC"/>
    <s v="MACRO"/>
    <x v="5"/>
    <x v="13"/>
    <x v="21"/>
    <m/>
    <s v="LA YUNTA VET"/>
    <s v="FA 667"/>
    <x v="6"/>
    <m/>
    <s v="24/25"/>
    <s v="BIENES DE USO"/>
    <s v="EFECTIVO Y OTROS ACT LÍQ EQ."/>
  </r>
  <r>
    <x v="1"/>
    <d v="2025-02-18T00:00:00"/>
    <s v="DBCR 25413 S/CR TASA GRAL"/>
    <m/>
    <n v="1138.1400000000001"/>
    <n v="0"/>
    <n v="-1138.1400000000001"/>
    <n v="-4357209.04"/>
    <n v="1140"/>
    <n v="0.99836842105263168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1"/>
    <d v="2025-02-19T00:00:00"/>
    <s v="CHEQUE CANJE INTERNO"/>
    <s v="N53810332"/>
    <n v="421560"/>
    <n v="0"/>
    <n v="-421560"/>
    <n v="-4778769.04"/>
    <n v="1140"/>
    <n v="369.78947368421052"/>
    <n v="0"/>
    <s v="ARS"/>
    <s v="CC"/>
    <s v="MACRO"/>
    <x v="5"/>
    <x v="13"/>
    <x v="21"/>
    <m/>
    <s v="LA YUNTA VET"/>
    <s v="FA 630"/>
    <x v="6"/>
    <m/>
    <s v="24/25"/>
    <s v="BIENES DE USO"/>
    <s v="EFECTIVO Y OTROS ACT LÍQ EQ."/>
  </r>
  <r>
    <x v="1"/>
    <d v="2025-02-19T00:00:00"/>
    <s v="SANCORSEG - SANCOR SEGUROS"/>
    <m/>
    <n v="4345"/>
    <n v="0"/>
    <n v="-4345"/>
    <n v="-4783114.04"/>
    <n v="1140"/>
    <n v="3.8114035087719298"/>
    <n v="0"/>
    <s v="ARS"/>
    <s v="CC"/>
    <s v="MACRO"/>
    <x v="1"/>
    <x v="7"/>
    <x v="47"/>
    <m/>
    <m/>
    <m/>
    <x v="1"/>
    <m/>
    <s v="24/25"/>
    <s v="EGRESOS"/>
    <s v="EFECTIVO Y OTROS ACT LÍQ EQ."/>
  </r>
  <r>
    <x v="1"/>
    <d v="2025-02-19T00:00:00"/>
    <s v="DBCR 25413 S/CR TASA GRAL"/>
    <m/>
    <n v="2555.4299999999998"/>
    <n v="0"/>
    <n v="-2555.4299999999998"/>
    <n v="-4785669.47"/>
    <n v="1140"/>
    <n v="2.2416052631578944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1"/>
    <d v="2025-02-21T00:00:00"/>
    <s v="CHEQUE P/CAMARA"/>
    <s v="N53810331"/>
    <n v="392000"/>
    <n v="0"/>
    <n v="-392000"/>
    <n v="-5177669.47"/>
    <n v="1140"/>
    <n v="343.85964912280701"/>
    <n v="0"/>
    <s v="ARS"/>
    <s v="CC"/>
    <s v="MACRO"/>
    <x v="5"/>
    <x v="13"/>
    <x v="4"/>
    <s v="HONORARIOS"/>
    <s v="FEDE PICCIOCHI"/>
    <s v="FA315"/>
    <x v="6"/>
    <m/>
    <s v="24/25"/>
    <s v="BIENES DE USO"/>
    <s v="EFECTIVO Y OTROS ACT LÍQ EQ."/>
  </r>
  <r>
    <x v="1"/>
    <d v="2025-02-21T00:00:00"/>
    <s v="DBCR 25413 S/CR TASA GRAL"/>
    <m/>
    <n v="2352"/>
    <n v="0"/>
    <n v="-2352"/>
    <n v="-5180021.47"/>
    <n v="1140"/>
    <n v="2.0631578947368423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1"/>
    <d v="2025-02-24T00:00:00"/>
    <s v="CHEQUE P/CAMARA"/>
    <s v="N51936048"/>
    <n v="340000"/>
    <n v="0"/>
    <n v="-340000"/>
    <n v="-5520021.4699999997"/>
    <n v="1140"/>
    <n v="298.24561403508773"/>
    <n v="0"/>
    <s v="ARS"/>
    <s v="CC"/>
    <s v="MACRO"/>
    <x v="3"/>
    <x v="8"/>
    <x v="46"/>
    <m/>
    <s v="LEO FERNANDEZ"/>
    <s v="FA 286 282"/>
    <x v="6"/>
    <m/>
    <s v="24/25"/>
    <s v="BIENES DE USO"/>
    <s v="EFECTIVO Y OTROS ACT LÍQ EQ."/>
  </r>
  <r>
    <x v="1"/>
    <d v="2025-02-24T00:00:00"/>
    <s v="CHEQUE P/CAMARA"/>
    <s v="N53810328"/>
    <n v="367727.47"/>
    <n v="0"/>
    <n v="-367727.47"/>
    <n v="-5887748.9400000004"/>
    <n v="1140"/>
    <n v="322.56795614035087"/>
    <n v="0"/>
    <s v="ARS"/>
    <s v="CC"/>
    <s v="MACRO"/>
    <x v="3"/>
    <x v="14"/>
    <x v="22"/>
    <s v="REPUESTOS"/>
    <s v="ZANOTTO "/>
    <s v="FA 804"/>
    <x v="6"/>
    <m/>
    <s v="24/25"/>
    <s v="BIENES DE USO"/>
    <s v="EFECTIVO Y OTROS ACT LÍQ EQ."/>
  </r>
  <r>
    <x v="1"/>
    <d v="2025-02-24T00:00:00"/>
    <s v="CHEQUE P/CAMARA"/>
    <s v="N53810342"/>
    <n v="341890.4"/>
    <n v="0"/>
    <n v="-341890.4"/>
    <n v="-6229639.3399999999"/>
    <n v="1140"/>
    <n v="299.90385964912281"/>
    <n v="0"/>
    <s v="ARS"/>
    <s v="CC"/>
    <s v="MACRO"/>
    <x v="5"/>
    <x v="13"/>
    <x v="36"/>
    <s v="HACIENDA"/>
    <s v="TODO CAMPO COMB"/>
    <s v="FA 7381"/>
    <x v="6"/>
    <m/>
    <s v="24/25"/>
    <s v="BIENES DE USO"/>
    <s v="EFECTIVO Y OTROS ACT LÍQ EQ."/>
  </r>
  <r>
    <x v="1"/>
    <d v="2025-02-24T00:00:00"/>
    <s v="TRANSF G Y E SA 30708920882 VAR VARIOS 161104"/>
    <m/>
    <n v="0"/>
    <n v="500000"/>
    <n v="500000"/>
    <n v="-5729639.3399999999"/>
    <n v="1140"/>
    <n v="0"/>
    <n v="438.59649122807019"/>
    <s v="ARS"/>
    <s v="CC"/>
    <s v="MACRO"/>
    <x v="0"/>
    <x v="0"/>
    <x v="0"/>
    <s v="DESDE EL PAMPA"/>
    <m/>
    <m/>
    <x v="0"/>
    <m/>
    <s v="24/25"/>
    <m/>
    <m/>
  </r>
  <r>
    <x v="1"/>
    <d v="2025-02-24T00:00:00"/>
    <s v="DEBITO FISCAL IVA BASICO"/>
    <m/>
    <n v="2741.13"/>
    <n v="0"/>
    <n v="-2741.13"/>
    <n v="-5732380.4699999997"/>
    <n v="1140"/>
    <n v="2.4045000000000001"/>
    <n v="0"/>
    <s v="ARS"/>
    <s v="CC"/>
    <s v="MACRO"/>
    <x v="1"/>
    <x v="1"/>
    <x v="1"/>
    <s v="DEBITO IVA FISCAL"/>
    <m/>
    <m/>
    <x v="1"/>
    <m/>
    <s v="24/25"/>
    <s v="EGRESOS"/>
    <s v="EFECTIVO Y OTROS ACT LÍQ EQ."/>
  </r>
  <r>
    <x v="1"/>
    <d v="2025-02-24T00:00:00"/>
    <s v="DEBITO FISCAL IVA PERCEPCION"/>
    <m/>
    <n v="391.59"/>
    <n v="0"/>
    <n v="-391.59"/>
    <n v="-5732772.0599999996"/>
    <n v="1140"/>
    <n v="0.34349999999999997"/>
    <n v="0"/>
    <s v="ARS"/>
    <s v="CC"/>
    <s v="MACRO"/>
    <x v="1"/>
    <x v="1"/>
    <x v="1"/>
    <s v="IVA PERCEPCION"/>
    <m/>
    <m/>
    <x v="1"/>
    <m/>
    <s v="24/25"/>
    <s v="EGRESOS"/>
    <s v="EFECTIVO Y OTROS ACT LÍQ EQ."/>
  </r>
  <r>
    <x v="1"/>
    <d v="2025-02-24T00:00:00"/>
    <s v="COMISION CHEQUE CONSULTA"/>
    <m/>
    <n v="13053"/>
    <n v="0"/>
    <n v="-13053"/>
    <n v="-5745825.0599999996"/>
    <n v="1140"/>
    <n v="11.45"/>
    <n v="0"/>
    <s v="ARS"/>
    <s v="CC"/>
    <s v="MACRO"/>
    <x v="1"/>
    <x v="7"/>
    <x v="9"/>
    <m/>
    <m/>
    <m/>
    <x v="1"/>
    <m/>
    <s v="24/25"/>
    <s v="EGRESOS"/>
    <s v="EFECTIVO Y OTROS ACT LÍQ EQ."/>
  </r>
  <r>
    <x v="1"/>
    <d v="2025-02-24T00:00:00"/>
    <s v="DBCR 25413 S/CR TASA GRAL"/>
    <m/>
    <n v="6394.81"/>
    <n v="0"/>
    <n v="-6394.81"/>
    <n v="-5752219.8700000001"/>
    <n v="1140"/>
    <n v="5.6094824561403511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1"/>
    <d v="2025-02-26T00:00:00"/>
    <s v="CHEQUE P/CAMARA"/>
    <s v="N53810326"/>
    <n v="292300"/>
    <n v="0"/>
    <n v="-292300"/>
    <n v="-6044519.8700000001"/>
    <n v="1140"/>
    <n v="256.40350877192981"/>
    <n v="0"/>
    <s v="ARS"/>
    <s v="CC"/>
    <s v="MACRO"/>
    <x v="0"/>
    <x v="19"/>
    <x v="48"/>
    <m/>
    <s v="GARELLO"/>
    <m/>
    <x v="5"/>
    <m/>
    <s v="24/25"/>
    <s v="BIENES Y SERVICIOS"/>
    <s v="EFECTIVO Y OTROS ACT LÍQ EQ."/>
  </r>
  <r>
    <x v="1"/>
    <d v="2025-02-26T00:00:00"/>
    <s v="CHEQUE P/CAMARA"/>
    <s v="N53810338"/>
    <n v="1356153.27"/>
    <n v="0"/>
    <n v="-1356153.27"/>
    <n v="-7400673.1399999997"/>
    <n v="1140"/>
    <n v="1189.6081315789475"/>
    <n v="0"/>
    <s v="ARS"/>
    <s v="CC"/>
    <s v="MACRO"/>
    <x v="2"/>
    <x v="4"/>
    <x v="5"/>
    <s v="APLICACIONES"/>
    <s v="CLERICI JUAN PABLO"/>
    <s v="FA 31,32,33"/>
    <x v="6"/>
    <m/>
    <s v="24/25"/>
    <s v="BIENES Y SERVICIOS"/>
    <s v="EFECTIVO Y OTROS ACT LÍQ EQ."/>
  </r>
  <r>
    <x v="1"/>
    <d v="2025-02-26T00:00:00"/>
    <s v="TEF DATANET MT G E S A 30708920882"/>
    <m/>
    <n v="0"/>
    <n v="1500000"/>
    <n v="1500000"/>
    <n v="-5900673.1399999997"/>
    <n v="1140"/>
    <n v="0"/>
    <n v="1315.7894736842106"/>
    <s v="ARS"/>
    <s v="CC"/>
    <s v="MACRO"/>
    <x v="0"/>
    <x v="0"/>
    <x v="0"/>
    <s v="DESDE EL GALICIA"/>
    <m/>
    <m/>
    <x v="0"/>
    <m/>
    <s v="24/25"/>
    <m/>
    <m/>
  </r>
  <r>
    <x v="1"/>
    <d v="2025-02-26T00:00:00"/>
    <s v="DEBITO FISCAL IVA BASICO"/>
    <m/>
    <n v="2741.13"/>
    <n v="0"/>
    <n v="-2741.13"/>
    <n v="-5903414.2699999996"/>
    <n v="1140"/>
    <n v="2.4045000000000001"/>
    <n v="0"/>
    <s v="ARS"/>
    <s v="CC"/>
    <s v="MACRO"/>
    <x v="1"/>
    <x v="1"/>
    <x v="1"/>
    <s v="DEBITO IVA FISCAL"/>
    <m/>
    <m/>
    <x v="1"/>
    <m/>
    <s v="24/25"/>
    <s v="EGRESOS"/>
    <s v="EFECTIVO Y OTROS ACT LÍQ EQ."/>
  </r>
  <r>
    <x v="1"/>
    <d v="2025-02-26T00:00:00"/>
    <s v="DEBITO FISCAL IVA PERCEPCION"/>
    <m/>
    <n v="391.59"/>
    <n v="0"/>
    <n v="-391.59"/>
    <n v="-5903805.8600000003"/>
    <n v="1140"/>
    <n v="0.34349999999999997"/>
    <n v="0"/>
    <s v="ARS"/>
    <s v="CC"/>
    <s v="MACRO"/>
    <x v="1"/>
    <x v="1"/>
    <x v="1"/>
    <s v="IVA PERCEPCION"/>
    <m/>
    <m/>
    <x v="1"/>
    <m/>
    <s v="24/25"/>
    <s v="EGRESOS"/>
    <s v="EFECTIVO Y OTROS ACT LÍQ EQ."/>
  </r>
  <r>
    <x v="1"/>
    <d v="2025-02-26T00:00:00"/>
    <s v="COMISION CHEQUE CONSULTA"/>
    <m/>
    <n v="13053"/>
    <n v="0"/>
    <n v="-13053"/>
    <n v="-5916858.8600000003"/>
    <n v="1140"/>
    <n v="11.45"/>
    <n v="0"/>
    <s v="ARS"/>
    <s v="CC"/>
    <s v="MACRO"/>
    <x v="1"/>
    <x v="7"/>
    <x v="9"/>
    <m/>
    <m/>
    <m/>
    <x v="1"/>
    <m/>
    <s v="24/25"/>
    <s v="EGRESOS"/>
    <s v="EFECTIVO Y OTROS ACT LÍQ EQ."/>
  </r>
  <r>
    <x v="1"/>
    <d v="2025-02-26T00:00:00"/>
    <s v="DBCR 25413 S/CR TASA GRAL"/>
    <m/>
    <n v="9987.83"/>
    <n v="0"/>
    <n v="-9987.83"/>
    <n v="-5926846.6900000004"/>
    <n v="1140"/>
    <n v="8.7612543859649126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1"/>
    <d v="2025-02-27T00:00:00"/>
    <s v="DEBITO FISCAL IVA BASICO"/>
    <m/>
    <n v="1739.43"/>
    <n v="0"/>
    <n v="-1739.43"/>
    <n v="-5928586.1200000001"/>
    <n v="1140"/>
    <n v="1.5258157894736843"/>
    <n v="0"/>
    <s v="ARS"/>
    <s v="CC"/>
    <s v="MACRO"/>
    <x v="1"/>
    <x v="1"/>
    <x v="1"/>
    <s v="DEBITO IVA FISCAL"/>
    <m/>
    <m/>
    <x v="1"/>
    <m/>
    <s v="24/25"/>
    <s v="EGRESOS"/>
    <s v="EFECTIVO Y OTROS ACT LÍQ EQ."/>
  </r>
  <r>
    <x v="1"/>
    <d v="2025-02-27T00:00:00"/>
    <s v="DEBITO FISCAL IVA PERCEPCION"/>
    <m/>
    <n v="248.49"/>
    <n v="0"/>
    <n v="-248.49"/>
    <n v="-5928834.6100000003"/>
    <n v="1140"/>
    <n v="0.21797368421052632"/>
    <n v="0"/>
    <s v="ARS"/>
    <s v="CC"/>
    <s v="MACRO"/>
    <x v="1"/>
    <x v="1"/>
    <x v="1"/>
    <s v="IVA PERCEPCION"/>
    <m/>
    <m/>
    <x v="1"/>
    <m/>
    <s v="24/25"/>
    <s v="EGRESOS"/>
    <s v="EFECTIVO Y OTROS ACT LÍQ EQ."/>
  </r>
  <r>
    <x v="1"/>
    <d v="2025-02-27T00:00:00"/>
    <s v="COMISION CHQ PAG CLEARING"/>
    <m/>
    <n v="8283"/>
    <n v="0"/>
    <n v="-8283"/>
    <n v="-5937117.6100000003"/>
    <n v="1140"/>
    <n v="7.2657894736842108"/>
    <n v="0"/>
    <s v="ARS"/>
    <s v="CC"/>
    <s v="MACRO"/>
    <x v="1"/>
    <x v="7"/>
    <x v="9"/>
    <m/>
    <m/>
    <m/>
    <x v="1"/>
    <m/>
    <s v="24/25"/>
    <s v="EGRESOS"/>
    <s v="EFECTIVO Y OTROS ACT LÍQ EQ."/>
  </r>
  <r>
    <x v="1"/>
    <d v="2025-02-27T00:00:00"/>
    <s v="DBCR 25413 S/CR TASA GRAL"/>
    <m/>
    <n v="61.63"/>
    <n v="0"/>
    <n v="-61.63"/>
    <n v="-5937179.2400000002"/>
    <n v="1140"/>
    <n v="5.4061403508771935E-2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1"/>
    <d v="2025-02-27T00:00:00"/>
    <s v="DB TR..AUT.SDO.MISMO TIT."/>
    <m/>
    <n v="52018.25"/>
    <n v="0"/>
    <n v="-52018.25"/>
    <n v="-5989197.4900000002"/>
    <n v="1140"/>
    <n v="45.63004385964912"/>
    <n v="0"/>
    <s v="ARS"/>
    <s v="CC"/>
    <s v="MACRO"/>
    <x v="0"/>
    <x v="0"/>
    <x v="0"/>
    <s v="HACIA CA MACRO"/>
    <m/>
    <m/>
    <x v="0"/>
    <m/>
    <s v="24/25"/>
    <m/>
    <m/>
  </r>
  <r>
    <x v="2"/>
    <d v="2025-03-05T00:00:00"/>
    <s v="DEBITO FISCAL IVA BASICO"/>
    <m/>
    <n v="16445.400000000001"/>
    <n v="0"/>
    <n v="-16445.400000000001"/>
    <n v="-6005642.8899999997"/>
    <n v="1140"/>
    <n v="14.425789473684212"/>
    <n v="0"/>
    <s v="ARS"/>
    <s v="CC"/>
    <s v="MACRO"/>
    <x v="1"/>
    <x v="1"/>
    <x v="1"/>
    <s v="DEBITO IVA FISCAL"/>
    <m/>
    <m/>
    <x v="1"/>
    <m/>
    <s v="24/25"/>
    <s v="EGRESOS"/>
    <s v="EFECTIVO Y OTROS ACT LÍQ EQ."/>
  </r>
  <r>
    <x v="2"/>
    <d v="2025-03-05T00:00:00"/>
    <s v="DEBITO FISCAL IVA PERCEPCION"/>
    <m/>
    <n v="2349.34"/>
    <n v="0"/>
    <n v="-2349.34"/>
    <n v="-6007992.2300000004"/>
    <n v="1140"/>
    <n v="2.0608245614035088"/>
    <n v="0"/>
    <s v="ARS"/>
    <s v="CC"/>
    <s v="MACRO"/>
    <x v="1"/>
    <x v="1"/>
    <x v="1"/>
    <s v="IVA PERCEPCION"/>
    <m/>
    <m/>
    <x v="1"/>
    <m/>
    <s v="24/25"/>
    <s v="EGRESOS"/>
    <s v="EFECTIVO Y OTROS ACT LÍQ EQ."/>
  </r>
  <r>
    <x v="2"/>
    <d v="2025-03-05T00:00:00"/>
    <s v="INTER.ADEL.CC C/ACUERD"/>
    <m/>
    <n v="156622.82999999999"/>
    <n v="0"/>
    <n v="-156622.82999999999"/>
    <n v="-6164615.0599999996"/>
    <n v="1140"/>
    <n v="137.38844736842105"/>
    <n v="0"/>
    <s v="ARS"/>
    <s v="CC"/>
    <s v="MACRO"/>
    <x v="1"/>
    <x v="6"/>
    <x v="8"/>
    <m/>
    <m/>
    <m/>
    <x v="1"/>
    <m/>
    <s v="24/25"/>
    <s v="EGRESOS"/>
    <s v="EFECTIVO Y OTROS ACT LÍQ EQ."/>
  </r>
  <r>
    <x v="2"/>
    <d v="2025-03-05T00:00:00"/>
    <s v="CHEQUE P/CAMARA"/>
    <s v="N53810346"/>
    <n v="392000"/>
    <n v="0"/>
    <n v="-392000"/>
    <n v="-6556615.0599999996"/>
    <n v="1140"/>
    <n v="343.85964912280701"/>
    <n v="0"/>
    <s v="ARS"/>
    <s v="CC"/>
    <s v="MACRO"/>
    <x v="5"/>
    <x v="13"/>
    <x v="4"/>
    <s v="HONORARIOS"/>
    <s v="FEDE PICCIOCHI"/>
    <s v="FA319"/>
    <x v="6"/>
    <m/>
    <s v="24/25"/>
    <s v="BIENES Y SERVICIOS"/>
    <s v="EFECTIVO Y OTROS ACT LÍQ EQ."/>
  </r>
  <r>
    <x v="2"/>
    <d v="2025-03-05T00:00:00"/>
    <s v="CHEQUE P/CAMARA"/>
    <s v="N53810352"/>
    <n v="1000000"/>
    <n v="0"/>
    <n v="-1000000"/>
    <n v="-7556615.0599999996"/>
    <n v="1140"/>
    <n v="877.19298245614038"/>
    <n v="0"/>
    <s v="ARS"/>
    <s v="CC"/>
    <s v="MACRO"/>
    <x v="5"/>
    <x v="13"/>
    <x v="36"/>
    <s v="HACIENDA"/>
    <s v="HA COMBUSTIBLES"/>
    <m/>
    <x v="6"/>
    <m/>
    <s v="24/25"/>
    <s v="BIENES Y SERVICIOS"/>
    <s v="EFECTIVO Y OTROS ACT LÍQ EQ."/>
  </r>
  <r>
    <x v="2"/>
    <d v="2025-03-05T00:00:00"/>
    <s v="CHEQUE P/CAMARA"/>
    <s v="N54213999"/>
    <n v="839778.78"/>
    <n v="0"/>
    <n v="-839778.78"/>
    <n v="-8396393.8399999999"/>
    <n v="1140"/>
    <n v="736.64805263157893"/>
    <n v="0"/>
    <s v="ARS"/>
    <s v="CC"/>
    <s v="MACRO"/>
    <x v="2"/>
    <x v="4"/>
    <x v="5"/>
    <s v="APLICACIONES"/>
    <s v="CLERICI JUAN PABLO"/>
    <s v="FA123"/>
    <x v="6"/>
    <m/>
    <s v="24/25"/>
    <s v="BIENES Y SERVICIOS"/>
    <s v="EFECTIVO Y OTROS ACT LÍQ EQ."/>
  </r>
  <r>
    <x v="2"/>
    <d v="2025-03-05T00:00:00"/>
    <s v="TEF DATANET MT G E S A 30708920882"/>
    <m/>
    <n v="0"/>
    <n v="300000"/>
    <n v="300000"/>
    <m/>
    <n v="1140"/>
    <n v="0"/>
    <n v="263.15789473684208"/>
    <s v="ARS"/>
    <s v="CC"/>
    <s v="MACRO"/>
    <x v="0"/>
    <x v="0"/>
    <x v="0"/>
    <s v="DESDE EL GALICIA"/>
    <m/>
    <m/>
    <x v="0"/>
    <m/>
    <s v="24/25"/>
    <m/>
    <m/>
  </r>
  <r>
    <x v="2"/>
    <d v="2025-03-05T00:00:00"/>
    <s v="TEF DATANET MT G E S A 30708920882"/>
    <m/>
    <n v="0"/>
    <n v="1400000"/>
    <n v="1400000"/>
    <n v="-6696393.8399999999"/>
    <n v="1140"/>
    <n v="0"/>
    <n v="1228.0701754385964"/>
    <s v="ARS"/>
    <s v="CC"/>
    <s v="MACRO"/>
    <x v="0"/>
    <x v="0"/>
    <x v="0"/>
    <s v="DESDE GALICIA"/>
    <m/>
    <m/>
    <x v="0"/>
    <m/>
    <s v="24/25"/>
    <m/>
    <m/>
  </r>
  <r>
    <x v="2"/>
    <d v="2025-03-05T00:00:00"/>
    <s v="TRANSF G Y E SA 30708920882 VAR VARIOS 161104"/>
    <m/>
    <n v="0"/>
    <n v="90000"/>
    <n v="90000"/>
    <n v="-6606393.8399999999"/>
    <n v="1140"/>
    <n v="0"/>
    <n v="78.94736842105263"/>
    <s v="ARS"/>
    <s v="CC"/>
    <s v="MACRO"/>
    <x v="0"/>
    <x v="0"/>
    <x v="0"/>
    <s v="DESDE NACION"/>
    <m/>
    <m/>
    <x v="0"/>
    <m/>
    <s v="24/25"/>
    <m/>
    <m/>
  </r>
  <r>
    <x v="2"/>
    <d v="2025-03-05T00:00:00"/>
    <s v="TRANSF G Y E SA 30708920882 VAR VARIOS 161104"/>
    <m/>
    <n v="0"/>
    <n v="290000"/>
    <n v="290000"/>
    <n v="-6316393.8399999999"/>
    <n v="1140"/>
    <n v="0"/>
    <n v="254.38596491228071"/>
    <s v="ARS"/>
    <s v="CC"/>
    <s v="MACRO"/>
    <x v="0"/>
    <x v="0"/>
    <x v="0"/>
    <s v="DESDE PAMPA"/>
    <m/>
    <m/>
    <x v="0"/>
    <m/>
    <s v="24/25"/>
    <m/>
    <m/>
  </r>
  <r>
    <x v="2"/>
    <d v="2025-03-05T00:00:00"/>
    <s v="TRANSF G Y E SA 30708920882 VAR VARIOS 161104"/>
    <m/>
    <n v="0"/>
    <n v="350000"/>
    <n v="350000"/>
    <n v="-5966393.8399999999"/>
    <n v="1140"/>
    <n v="0"/>
    <n v="307.01754385964909"/>
    <s v="ARS"/>
    <s v="CC"/>
    <s v="MACRO"/>
    <x v="0"/>
    <x v="0"/>
    <x v="0"/>
    <s v="DESDE NACION"/>
    <m/>
    <m/>
    <x v="0"/>
    <m/>
    <s v="24/25"/>
    <m/>
    <m/>
  </r>
  <r>
    <x v="2"/>
    <d v="2025-03-05T00:00:00"/>
    <s v="DEBITO FISCAL IVA BASICO"/>
    <m/>
    <n v="2741.13"/>
    <n v="0"/>
    <n v="-2741.13"/>
    <n v="-5969134.9699999997"/>
    <n v="1140"/>
    <n v="2.4045000000000001"/>
    <n v="0"/>
    <s v="ARS"/>
    <s v="CC"/>
    <s v="MACRO"/>
    <x v="1"/>
    <x v="1"/>
    <x v="1"/>
    <s v="DEBITO IVA FISCAL"/>
    <m/>
    <m/>
    <x v="1"/>
    <m/>
    <s v="24/25"/>
    <s v="EGRESOS"/>
    <s v="EFECTIVO Y OTROS ACT LÍQ EQ."/>
  </r>
  <r>
    <x v="2"/>
    <d v="2025-03-05T00:00:00"/>
    <s v="DEBITO FISCAL IVA PERCEPCION"/>
    <m/>
    <n v="391.59"/>
    <n v="0"/>
    <n v="-391.59"/>
    <n v="-5969526.5599999996"/>
    <n v="1140"/>
    <n v="0.34349999999999997"/>
    <n v="0"/>
    <s v="ARS"/>
    <s v="CC"/>
    <s v="MACRO"/>
    <x v="1"/>
    <x v="1"/>
    <x v="1"/>
    <s v="IVA PERCEPCION"/>
    <m/>
    <m/>
    <x v="1"/>
    <m/>
    <s v="24/25"/>
    <s v="EGRESOS"/>
    <s v="EFECTIVO Y OTROS ACT LÍQ EQ."/>
  </r>
  <r>
    <x v="2"/>
    <d v="2025-03-05T00:00:00"/>
    <s v="COMISION CHEQUE CONSULTA"/>
    <m/>
    <n v="13053"/>
    <n v="0"/>
    <n v="-13053"/>
    <n v="-5982579.5599999996"/>
    <n v="1140"/>
    <n v="11.45"/>
    <n v="0"/>
    <s v="ARS"/>
    <s v="CC"/>
    <s v="MACRO"/>
    <x v="1"/>
    <x v="7"/>
    <x v="9"/>
    <m/>
    <m/>
    <m/>
    <x v="1"/>
    <m/>
    <s v="24/25"/>
    <s v="EGRESOS"/>
    <s v="EFECTIVO Y OTROS ACT LÍQ EQ."/>
  </r>
  <r>
    <x v="2"/>
    <d v="2025-03-05T00:00:00"/>
    <s v="DGR SELLOS CORDOBA"/>
    <m/>
    <n v="4307.79"/>
    <n v="0"/>
    <n v="-4307.79"/>
    <n v="-5986887.3499999996"/>
    <n v="1140"/>
    <n v="3.7787631578947369"/>
    <n v="0"/>
    <s v="ARS"/>
    <s v="CC"/>
    <s v="MACRO"/>
    <x v="1"/>
    <x v="1"/>
    <x v="1"/>
    <s v="SELLOS"/>
    <m/>
    <m/>
    <x v="1"/>
    <m/>
    <s v="24/25"/>
    <s v="EGRESOS"/>
    <s v="EFECTIVO Y OTROS ACT LÍQ EQ."/>
  </r>
  <r>
    <x v="2"/>
    <d v="2025-03-05T00:00:00"/>
    <s v="DBCR 25413 S/CR TASA GRAL"/>
    <m/>
    <n v="14566.14"/>
    <n v="0"/>
    <n v="-14566.14"/>
    <n v="-6001453.4900000002"/>
    <n v="1140"/>
    <n v="12.777315789473684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2"/>
    <d v="2025-03-06T00:00:00"/>
    <s v="CHEQUE P/CAMARA"/>
    <s v="N53810347"/>
    <n v="1331000"/>
    <n v="0"/>
    <n v="-1331000"/>
    <n v="-7332453.4900000002"/>
    <n v="1140"/>
    <n v="1167.5438596491229"/>
    <n v="0"/>
    <s v="ARS"/>
    <s v="CC"/>
    <s v="MACRO"/>
    <x v="2"/>
    <x v="4"/>
    <x v="5"/>
    <s v="SIEMBRA"/>
    <s v="RODRIGUEZ ARIEL"/>
    <m/>
    <x v="5"/>
    <m/>
    <s v="24/25"/>
    <s v="BIENES Y SERVICIOS"/>
    <s v="EFECTIVO Y OTROS ACT LÍQ EQ."/>
  </r>
  <r>
    <x v="2"/>
    <d v="2025-03-06T00:00:00"/>
    <s v="CHEQUE P/CAMARA"/>
    <s v="N53810350"/>
    <n v="1229406"/>
    <n v="0"/>
    <n v="-1229406"/>
    <n v="-8561859.4900000002"/>
    <n v="1140"/>
    <n v="1078.4263157894736"/>
    <n v="0"/>
    <s v="ARS"/>
    <s v="CC"/>
    <s v="MACRO"/>
    <x v="2"/>
    <x v="4"/>
    <x v="5"/>
    <s v="SIEMBRA"/>
    <s v="RODRIGUEZ ARIEL"/>
    <m/>
    <x v="5"/>
    <m/>
    <s v="24/25"/>
    <s v="BIENES Y SERVICIOS"/>
    <s v="EFECTIVO Y OTROS ACT LÍQ EQ."/>
  </r>
  <r>
    <x v="2"/>
    <d v="2025-03-06T00:00:00"/>
    <s v="CHEQUE P/CAMARA"/>
    <s v="N54382421"/>
    <n v="102000"/>
    <n v="0"/>
    <n v="-102000"/>
    <n v="-8663859.4900000002"/>
    <n v="1140"/>
    <n v="89.473684210526315"/>
    <n v="0"/>
    <s v="ARS"/>
    <s v="CC"/>
    <s v="MACRO"/>
    <x v="3"/>
    <x v="8"/>
    <x v="11"/>
    <m/>
    <s v="GOMERIA GONZALEZ"/>
    <m/>
    <x v="6"/>
    <m/>
    <s v="24/25"/>
    <s v="BIENES Y SERVICIOS"/>
    <s v="EFECTIVO Y OTROS ACT LÍQ EQ."/>
  </r>
  <r>
    <x v="2"/>
    <d v="2025-03-06T00:00:00"/>
    <s v="TRANSF G Y E SA 30708920882 VAR VARIOS 161104"/>
    <m/>
    <n v="0"/>
    <n v="2670000"/>
    <n v="2670000"/>
    <n v="-5993859.4900000002"/>
    <n v="1140"/>
    <n v="0"/>
    <n v="2342.1052631578946"/>
    <s v="ARS"/>
    <s v="CC"/>
    <s v="MACRO"/>
    <x v="0"/>
    <x v="0"/>
    <x v="0"/>
    <s v="DESDE EL NACION"/>
    <m/>
    <m/>
    <x v="0"/>
    <m/>
    <s v="24/25"/>
    <m/>
    <m/>
  </r>
  <r>
    <x v="2"/>
    <d v="2025-03-06T00:00:00"/>
    <s v="DEBITO FISCAL IVA BASICO"/>
    <m/>
    <n v="2741.13"/>
    <n v="0"/>
    <n v="-2741.13"/>
    <n v="-5996600.6200000001"/>
    <n v="1140"/>
    <n v="2.4045000000000001"/>
    <n v="0"/>
    <s v="ARS"/>
    <s v="CC"/>
    <s v="MACRO"/>
    <x v="1"/>
    <x v="1"/>
    <x v="1"/>
    <s v="DEBITO IVA FISCAL"/>
    <m/>
    <m/>
    <x v="1"/>
    <m/>
    <s v="24/25"/>
    <s v="EGRESOS"/>
    <s v="EFECTIVO Y OTROS ACT LÍQ EQ."/>
  </r>
  <r>
    <x v="2"/>
    <d v="2025-03-06T00:00:00"/>
    <s v="DEBITO FISCAL IVA PERCEPCION"/>
    <m/>
    <n v="391.59"/>
    <n v="0"/>
    <n v="-391.59"/>
    <n v="-5996992.21"/>
    <n v="1140"/>
    <n v="0.34349999999999997"/>
    <n v="0"/>
    <s v="ARS"/>
    <s v="CC"/>
    <s v="MACRO"/>
    <x v="1"/>
    <x v="1"/>
    <x v="1"/>
    <s v="IVA PERCEPCION"/>
    <m/>
    <m/>
    <x v="1"/>
    <m/>
    <s v="24/25"/>
    <s v="EGRESOS"/>
    <s v="EFECTIVO Y OTROS ACT LÍQ EQ."/>
  </r>
  <r>
    <x v="2"/>
    <d v="2025-03-06T00:00:00"/>
    <s v="COMISION CHEQUE CONSULTA"/>
    <m/>
    <n v="13053"/>
    <n v="0"/>
    <n v="-13053"/>
    <n v="-6010045.21"/>
    <n v="1140"/>
    <n v="11.45"/>
    <n v="0"/>
    <s v="ARS"/>
    <s v="CC"/>
    <s v="MACRO"/>
    <x v="1"/>
    <x v="7"/>
    <x v="9"/>
    <m/>
    <m/>
    <m/>
    <x v="1"/>
    <m/>
    <s v="24/25"/>
    <s v="EGRESOS"/>
    <s v="EFECTIVO Y OTROS ACT LÍQ EQ."/>
  </r>
  <r>
    <x v="2"/>
    <d v="2025-03-06T00:00:00"/>
    <s v="DBCR 25413 S/CR TASA GRAL"/>
    <m/>
    <n v="16071.55"/>
    <n v="0"/>
    <n v="-16071.55"/>
    <n v="-6026116.7599999998"/>
    <n v="1140"/>
    <n v="14.097850877192982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2"/>
    <d v="2025-03-07T00:00:00"/>
    <s v="CHEQUE P/CAMARA"/>
    <s v="N53810343"/>
    <n v="555035.56999999995"/>
    <n v="0"/>
    <n v="-555035.56999999995"/>
    <n v="-6581152.3300000001"/>
    <n v="1140"/>
    <n v="486.87330701754382"/>
    <n v="0"/>
    <s v="ARS"/>
    <s v="CC"/>
    <s v="MACRO"/>
    <x v="1"/>
    <x v="2"/>
    <x v="2"/>
    <s v="PINTURAS PARA CASA"/>
    <s v="AR PINTURAS"/>
    <s v="FA246"/>
    <x v="2"/>
    <s v="RAUL"/>
    <s v="24/25"/>
    <s v="BIENES Y SERVICIOS"/>
    <s v="EFECTIVO Y OTROS ACT LÍQ EQ."/>
  </r>
  <r>
    <x v="2"/>
    <d v="2025-03-07T00:00:00"/>
    <s v="TRANSF G Y E SA 30708920882 VAR VARIOS 161104"/>
    <m/>
    <n v="0"/>
    <n v="583000"/>
    <n v="583000"/>
    <n v="-5998152.3300000001"/>
    <n v="1140"/>
    <n v="0"/>
    <n v="511.40350877192981"/>
    <s v="ARS"/>
    <s v="CC"/>
    <s v="MACRO"/>
    <x v="0"/>
    <x v="0"/>
    <x v="0"/>
    <s v="DESDE NACION"/>
    <m/>
    <m/>
    <x v="0"/>
    <m/>
    <s v="24/25"/>
    <m/>
    <m/>
  </r>
  <r>
    <x v="2"/>
    <d v="2025-03-07T00:00:00"/>
    <s v="DEBITO FISCAL IVA BASICO"/>
    <m/>
    <n v="583000"/>
    <n v="0"/>
    <n v="-583000"/>
    <n v="-6000893.46"/>
    <n v="1140"/>
    <n v="511.40350877192981"/>
    <n v="0"/>
    <s v="ARS"/>
    <s v="CC"/>
    <s v="MACRO"/>
    <x v="1"/>
    <x v="1"/>
    <x v="1"/>
    <s v="DEBITO IVA FISCAL"/>
    <m/>
    <m/>
    <x v="1"/>
    <m/>
    <s v="24/25"/>
    <s v="EGRESOS"/>
    <s v="EFECTIVO Y OTROS ACT LÍQ EQ."/>
  </r>
  <r>
    <x v="2"/>
    <d v="2025-03-07T00:00:00"/>
    <s v="DEBITO FISCAL IVA PERCEPCION"/>
    <m/>
    <n v="2741.13"/>
    <n v="0"/>
    <n v="-2741.13"/>
    <n v="-6001285.0499999998"/>
    <n v="1140"/>
    <n v="2.4045000000000001"/>
    <n v="0"/>
    <s v="ARS"/>
    <s v="CC"/>
    <s v="MACRO"/>
    <x v="1"/>
    <x v="1"/>
    <x v="1"/>
    <s v="IVA PERCEPCION"/>
    <m/>
    <m/>
    <x v="1"/>
    <m/>
    <s v="24/25"/>
    <s v="EGRESOS"/>
    <s v="EFECTIVO Y OTROS ACT LÍQ EQ."/>
  </r>
  <r>
    <x v="2"/>
    <d v="2025-03-07T00:00:00"/>
    <s v="COMISION CHEQUE CONSULTA"/>
    <m/>
    <n v="391.59"/>
    <n v="0"/>
    <n v="-391.59"/>
    <n v="-6014338.0499999998"/>
    <n v="1140"/>
    <n v="0.34349999999999997"/>
    <n v="0"/>
    <s v="ARS"/>
    <s v="CC"/>
    <s v="MACRO"/>
    <x v="1"/>
    <x v="7"/>
    <x v="9"/>
    <m/>
    <m/>
    <m/>
    <x v="1"/>
    <m/>
    <s v="24/25"/>
    <s v="EGRESOS"/>
    <s v="EFECTIVO Y OTROS ACT LÍQ EQ."/>
  </r>
  <r>
    <x v="2"/>
    <d v="2025-03-07T00:00:00"/>
    <s v="DBCR 25413 S/CR TASA GRAL"/>
    <m/>
    <n v="13053"/>
    <n v="0"/>
    <n v="-13053"/>
    <n v="-6017765.3700000001"/>
    <n v="1140"/>
    <n v="11.45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2"/>
    <d v="2025-03-07T00:00:00"/>
    <s v="DBCR 25413 S/CR TASA GRAL"/>
    <m/>
    <n v="3427.32"/>
    <n v="0"/>
    <n v="-3427.32"/>
    <n v="-6017765.3700000001"/>
    <n v="1140"/>
    <n v="3.0064210526315791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2"/>
    <d v="2025-03-10T00:00:00"/>
    <s v="TEF DATANET MT G E S A 30708920882"/>
    <m/>
    <n v="0"/>
    <n v="20000"/>
    <n v="20000"/>
    <n v="-5997765.3700000001"/>
    <n v="1140"/>
    <n v="0"/>
    <n v="17.543859649122808"/>
    <s v="ARS"/>
    <s v="CC"/>
    <s v="MACRO"/>
    <x v="0"/>
    <x v="0"/>
    <x v="0"/>
    <s v="DESDE GALICIA"/>
    <m/>
    <m/>
    <x v="0"/>
    <m/>
    <s v="24/25"/>
    <m/>
    <m/>
  </r>
  <r>
    <x v="2"/>
    <d v="2025-03-11T00:00:00"/>
    <s v="CHEQUE CANJE INTERNO"/>
    <s v="N53810334"/>
    <n v="500000"/>
    <n v="0"/>
    <n v="-500000"/>
    <n v="-6497765.3700000001"/>
    <n v="1140"/>
    <n v="438.59649122807019"/>
    <n v="0"/>
    <s v="ARS"/>
    <s v="CC"/>
    <s v="MACRO"/>
    <x v="3"/>
    <x v="5"/>
    <x v="30"/>
    <m/>
    <s v="MERLO"/>
    <m/>
    <x v="6"/>
    <m/>
    <s v="24/25"/>
    <s v="BIENES Y SERVICIOS"/>
    <s v="EFECTIVO Y OTROS ACT LÍQ EQ."/>
  </r>
  <r>
    <x v="2"/>
    <d v="2025-03-11T00:00:00"/>
    <s v="TRANSF ERRECALDE 20164045693 VAR VARIOS"/>
    <m/>
    <n v="0"/>
    <n v="500000"/>
    <n v="500000"/>
    <n v="-5997765.3700000001"/>
    <n v="1140"/>
    <n v="0"/>
    <n v="438.59649122807019"/>
    <s v="ARS"/>
    <s v="CC"/>
    <s v="MACRO"/>
    <x v="1"/>
    <x v="2"/>
    <x v="14"/>
    <m/>
    <s v="RAUL"/>
    <m/>
    <x v="8"/>
    <s v="RAUL"/>
    <s v="24/25"/>
    <s v="EFECTIVO Y OTROS ACT LÍQ EQ."/>
    <s v="APORTES DE CAPITAL"/>
  </r>
  <r>
    <x v="2"/>
    <d v="2025-03-11T00:00:00"/>
    <s v="DBCR 25413 S/CR TASA GRAL"/>
    <m/>
    <n v="3000"/>
    <n v="0"/>
    <n v="-3000"/>
    <n v="-6000765.3700000001"/>
    <n v="1140"/>
    <n v="2.6315789473684212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2"/>
    <d v="2025-03-11T00:00:00"/>
    <s v="DBCR 25413 S/CR TASA GRAL"/>
    <m/>
    <n v="3000"/>
    <n v="0"/>
    <n v="-3000"/>
    <n v="-6003765.3700000001"/>
    <n v="1140"/>
    <n v="2.6315789473684212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2"/>
    <d v="2025-03-12T00:00:00"/>
    <s v="TEF DATANET MT G E S A 30708920882"/>
    <m/>
    <n v="0"/>
    <n v="5000"/>
    <n v="5000"/>
    <n v="-5998765.3700000001"/>
    <n v="1140"/>
    <n v="0"/>
    <n v="4.3859649122807021"/>
    <s v="ARS"/>
    <s v="CC"/>
    <s v="MACRO"/>
    <x v="0"/>
    <x v="0"/>
    <x v="0"/>
    <s v="DESDE EL GALICIA"/>
    <m/>
    <m/>
    <x v="0"/>
    <m/>
    <s v="24/25"/>
    <m/>
    <m/>
  </r>
  <r>
    <x v="2"/>
    <d v="2025-03-17T00:00:00"/>
    <s v="COMISION TRF. MACROL E-SET"/>
    <m/>
    <n v="121"/>
    <n v="0"/>
    <n v="-121"/>
    <n v="-6650017.6900000004"/>
    <n v="1140"/>
    <n v="0.10614035087719298"/>
    <n v="0"/>
    <s v="ARS"/>
    <s v="CC"/>
    <s v="MACRO"/>
    <x v="1"/>
    <x v="7"/>
    <x v="9"/>
    <m/>
    <m/>
    <m/>
    <x v="1"/>
    <m/>
    <s v="24/25"/>
    <s v="EGRESOS"/>
    <s v="EFECTIVO Y OTROS ACT LÍQ EQ."/>
  </r>
  <r>
    <x v="2"/>
    <d v="2025-03-17T00:00:00"/>
    <s v="DBCR 25413 S/CR TASA GRAL"/>
    <m/>
    <n v="3828.73"/>
    <n v="0"/>
    <n v="-3828.73"/>
    <n v="-6653846.4199999999"/>
    <n v="1140"/>
    <n v="3.3585350877192983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2"/>
    <d v="2025-03-17T00:00:00"/>
    <s v="TRANSF. MACRONLINE E-SET D/T"/>
    <m/>
    <n v="638000"/>
    <n v="0"/>
    <n v="-638000"/>
    <n v="-6649896.6900000004"/>
    <n v="1140"/>
    <n v="559.64912280701753"/>
    <n v="0"/>
    <s v="ARS"/>
    <s v="CC"/>
    <s v="MACRO"/>
    <x v="1"/>
    <x v="2"/>
    <x v="23"/>
    <m/>
    <s v="CLAUDIA ERRECALDE"/>
    <m/>
    <x v="15"/>
    <s v="CLAUDIA"/>
    <s v="24/25"/>
    <s v="FUTURAS UT. ADL CLAUDIA"/>
    <s v="EFECTIVO Y OTROS ACT LÍQ EQ."/>
  </r>
  <r>
    <x v="2"/>
    <d v="2025-03-18T00:00:00"/>
    <s v="CHEQUE P/CAMARA"/>
    <s v="N53810339"/>
    <n v="1356000"/>
    <n v="0"/>
    <n v="-1356000"/>
    <n v="-8009846.4199999999"/>
    <n v="1140"/>
    <n v="1189.4736842105262"/>
    <n v="0"/>
    <s v="ARS"/>
    <s v="CC"/>
    <s v="MACRO"/>
    <x v="2"/>
    <x v="4"/>
    <x v="5"/>
    <s v="APLICACIONES"/>
    <s v="CLERICI JUAN PABLO"/>
    <s v="FA31, 32, 33"/>
    <x v="6"/>
    <m/>
    <s v="24/25"/>
    <s v="BIENES Y SERVICIOS"/>
    <s v="EFECTIVO Y OTROS ACT LÍQ EQ."/>
  </r>
  <r>
    <x v="2"/>
    <d v="2025-03-18T00:00:00"/>
    <s v="CHEQUE P/CAMARA"/>
    <s v="N56186509"/>
    <n v="814644.6"/>
    <n v="0"/>
    <n v="-814644.6"/>
    <n v="-8824491.0199999996"/>
    <n v="1140"/>
    <n v="714.60052631578947"/>
    <n v="0"/>
    <s v="ARS"/>
    <s v="CC"/>
    <s v="MACRO"/>
    <x v="3"/>
    <x v="8"/>
    <x v="46"/>
    <m/>
    <s v="DIESEL REALICO"/>
    <s v="FA 3740"/>
    <x v="6"/>
    <m/>
    <s v="24/25"/>
    <s v="BIENES Y SERVICIOS"/>
    <s v="EFECTIVO Y OTROS ACT LÍQ EQ."/>
  </r>
  <r>
    <x v="2"/>
    <d v="2025-03-18T00:00:00"/>
    <s v="TRANSF. MACRONLINE E-SET D/T"/>
    <m/>
    <n v="500000"/>
    <n v="0"/>
    <n v="-500000"/>
    <n v="-9324491.0199999996"/>
    <n v="1140"/>
    <n v="438.59649122807019"/>
    <n v="0"/>
    <s v="ARS"/>
    <s v="CC"/>
    <s v="MACRO"/>
    <x v="1"/>
    <x v="2"/>
    <x v="2"/>
    <s v="DEVOLUCION PARTE APORTADO"/>
    <s v="RAUL"/>
    <m/>
    <x v="2"/>
    <s v="RAUL"/>
    <s v="24/25"/>
    <s v="FUTURAS UT. ADL RAUL"/>
    <s v="EFECTIVO Y OTROS ACT LÍQ EQ."/>
  </r>
  <r>
    <x v="2"/>
    <d v="2025-03-18T00:00:00"/>
    <s v="COMISION TRF. MACROL E-SET"/>
    <m/>
    <n v="121"/>
    <n v="0"/>
    <n v="-121"/>
    <n v="-9324612.0199999996"/>
    <n v="1140"/>
    <n v="0.10614035087719298"/>
    <n v="0"/>
    <s v="ARS"/>
    <s v="CC"/>
    <s v="MACRO"/>
    <x v="1"/>
    <x v="7"/>
    <x v="9"/>
    <m/>
    <m/>
    <m/>
    <x v="1"/>
    <m/>
    <s v="24/25"/>
    <s v="EGRESOS"/>
    <s v="EFECTIVO Y OTROS ACT LÍQ EQ."/>
  </r>
  <r>
    <x v="2"/>
    <d v="2025-03-18T00:00:00"/>
    <s v="TRANSF. MACRONLINE E-SET M/T"/>
    <m/>
    <n v="760000"/>
    <n v="0"/>
    <n v="-760000"/>
    <n v="-10084612.02"/>
    <n v="1140"/>
    <n v="666.66666666666663"/>
    <n v="0"/>
    <s v="ARS"/>
    <s v="CC"/>
    <s v="MACRO"/>
    <x v="0"/>
    <x v="0"/>
    <x v="0"/>
    <s v="HACIA EL GALICIA"/>
    <m/>
    <m/>
    <x v="0"/>
    <m/>
    <s v="24/25"/>
    <m/>
    <m/>
  </r>
  <r>
    <x v="2"/>
    <d v="2025-03-18T00:00:00"/>
    <s v="COMISION TRF. MACROL E-SET"/>
    <m/>
    <n v="121"/>
    <n v="0"/>
    <n v="-121"/>
    <n v="-10084733.02"/>
    <n v="1140"/>
    <n v="0.10614035087719298"/>
    <n v="0"/>
    <s v="ARS"/>
    <s v="CC"/>
    <s v="MACRO"/>
    <x v="1"/>
    <x v="7"/>
    <x v="9"/>
    <m/>
    <m/>
    <m/>
    <x v="1"/>
    <m/>
    <s v="24/25"/>
    <s v="EGRESOS"/>
    <s v="EFECTIVO Y OTROS ACT LÍQ EQ."/>
  </r>
  <r>
    <x v="2"/>
    <d v="2025-03-18T00:00:00"/>
    <s v="TRANSF. MACRONLINE E-SET D/T"/>
    <m/>
    <n v="1000000"/>
    <n v="0"/>
    <n v="-1000000"/>
    <n v="-11084733.02"/>
    <n v="1140"/>
    <n v="877.19298245614038"/>
    <n v="0"/>
    <s v="ARS"/>
    <s v="CC"/>
    <s v="MACRO"/>
    <x v="1"/>
    <x v="2"/>
    <x v="2"/>
    <m/>
    <s v="RAUL"/>
    <m/>
    <x v="2"/>
    <s v="RAUL"/>
    <s v="24/25"/>
    <s v="FUTURAS UT. ADL RAUL"/>
    <s v="EFECTIVO Y OTROS ACT LÍQ EQ."/>
  </r>
  <r>
    <x v="2"/>
    <d v="2025-03-18T00:00:00"/>
    <s v="COMISION TRF. MACROL E-SET"/>
    <m/>
    <n v="121"/>
    <n v="0"/>
    <n v="-121"/>
    <n v="-11084854.02"/>
    <n v="1140"/>
    <n v="0.10614035087719298"/>
    <n v="0"/>
    <s v="ARS"/>
    <s v="CC"/>
    <s v="MACRO"/>
    <x v="1"/>
    <x v="7"/>
    <x v="9"/>
    <m/>
    <m/>
    <m/>
    <x v="1"/>
    <m/>
    <s v="24/25"/>
    <s v="EGRESOS"/>
    <s v="EFECTIVO Y OTROS ACT LÍQ EQ."/>
  </r>
  <r>
    <x v="2"/>
    <d v="2025-03-18T00:00:00"/>
    <s v="TRANSF. MACRONLINE E-SET D/T"/>
    <m/>
    <n v="500000"/>
    <n v="0"/>
    <n v="-500000"/>
    <n v="-11084853.02"/>
    <n v="1141"/>
    <n v="438.21209465381247"/>
    <n v="0"/>
    <s v="ARS"/>
    <s v="CC"/>
    <s v="MACRO"/>
    <x v="0"/>
    <x v="0"/>
    <x v="0"/>
    <s v="HACIA EL NACION"/>
    <m/>
    <m/>
    <x v="0"/>
    <m/>
    <s v="24/25"/>
    <m/>
    <m/>
  </r>
  <r>
    <x v="2"/>
    <d v="2025-03-18T00:00:00"/>
    <s v="TRANSF. MACRONLINE E-SET D/T"/>
    <m/>
    <n v="5400"/>
    <n v="0"/>
    <n v="-5400"/>
    <n v="-11584975.02"/>
    <n v="1140"/>
    <n v="4.7368421052631575"/>
    <n v="0"/>
    <s v="ARS"/>
    <s v="CC"/>
    <s v="MACRO"/>
    <x v="3"/>
    <x v="8"/>
    <x v="35"/>
    <m/>
    <m/>
    <m/>
    <x v="5"/>
    <m/>
    <s v="24/25"/>
    <s v="BIENES Y SERVICIOS"/>
    <s v="EFECTIVO Y OTROS ACT LÍQ EQ."/>
  </r>
  <r>
    <x v="2"/>
    <d v="2025-03-18T00:00:00"/>
    <s v="TRANSF. MACRONLINE E-SET D/T"/>
    <m/>
    <n v="150000"/>
    <n v="0"/>
    <n v="-150000"/>
    <n v="-11584975.02"/>
    <n v="1140"/>
    <n v="131.57894736842104"/>
    <n v="0"/>
    <s v="ARS"/>
    <s v="CC"/>
    <s v="MACRO"/>
    <x v="1"/>
    <x v="3"/>
    <x v="13"/>
    <m/>
    <s v="COLO BUSTOS"/>
    <m/>
    <x v="3"/>
    <m/>
    <s v="24/25"/>
    <s v="BIENES Y SERVICIOS"/>
    <s v="EFECTIVO Y OTROS ACT LÍQ EQ."/>
  </r>
  <r>
    <x v="2"/>
    <d v="2025-03-18T00:00:00"/>
    <s v="TRANSF. MACRONLINE E-SET D/T"/>
    <m/>
    <n v="150000"/>
    <n v="0"/>
    <n v="-150000"/>
    <n v="-11584975.02"/>
    <n v="1140"/>
    <n v="131.57894736842104"/>
    <n v="0"/>
    <s v="ARS"/>
    <s v="CC"/>
    <s v="MACRO"/>
    <x v="1"/>
    <x v="3"/>
    <x v="13"/>
    <m/>
    <s v="IGNACIO MALDONADO"/>
    <m/>
    <x v="3"/>
    <m/>
    <s v="24/25"/>
    <s v="BIENES Y SERVICIOS"/>
    <s v="EFECTIVO Y OTROS ACT LÍQ EQ."/>
  </r>
  <r>
    <x v="2"/>
    <d v="2025-03-18T00:00:00"/>
    <s v="TRANSF. MACRONLINE E-SET D/T"/>
    <m/>
    <n v="350000"/>
    <n v="0"/>
    <n v="-350000"/>
    <n v="-11584975.02"/>
    <n v="1140"/>
    <n v="307.01754385964909"/>
    <n v="0"/>
    <s v="ARS"/>
    <s v="CC"/>
    <s v="MACRO"/>
    <x v="1"/>
    <x v="11"/>
    <x v="26"/>
    <s v="DEVOLUCION APORTADO"/>
    <s v="BECERRA ADRIAN"/>
    <m/>
    <x v="10"/>
    <m/>
    <s v="24/25"/>
    <s v="DEUDAS FINANCIERAS CP"/>
    <s v="EFECTIVO Y OTROS ACT LÍQ EQ."/>
  </r>
  <r>
    <x v="2"/>
    <d v="2025-03-18T00:00:00"/>
    <s v="TRANSF. MACRONLINE E-SET D/T"/>
    <m/>
    <n v="447000"/>
    <n v="0"/>
    <n v="-447000"/>
    <n v="-11584975.02"/>
    <n v="1140"/>
    <n v="392.10526315789474"/>
    <n v="0"/>
    <s v="ARS"/>
    <s v="CC"/>
    <s v="MACRO"/>
    <x v="1"/>
    <x v="3"/>
    <x v="3"/>
    <s v="PERIODO FEBRERO 25"/>
    <s v="KEVIN TOLEDO"/>
    <m/>
    <x v="3"/>
    <m/>
    <s v="24/25"/>
    <s v="EGRESOS"/>
    <s v="EFECTIVO Y OTROS ACT LÍQ EQ."/>
  </r>
  <r>
    <x v="2"/>
    <d v="2025-03-18T00:00:00"/>
    <s v="TRANSF. MACRONLINE E-SET D/T"/>
    <m/>
    <n v="45000"/>
    <n v="0"/>
    <n v="-45000"/>
    <n v="-11584975.02"/>
    <n v="1140"/>
    <n v="39.473684210526315"/>
    <n v="0"/>
    <s v="ARS"/>
    <s v="CC"/>
    <s v="MACRO"/>
    <x v="1"/>
    <x v="3"/>
    <x v="13"/>
    <m/>
    <s v="MARTIN TOLEDO"/>
    <m/>
    <x v="3"/>
    <m/>
    <s v="24/25"/>
    <s v="EGRESOS"/>
    <s v="EFECTIVO Y OTROS ACT LÍQ EQ."/>
  </r>
  <r>
    <x v="2"/>
    <d v="2025-03-18T00:00:00"/>
    <s v="TRANSF. MACRONLINE E-SET D/T"/>
    <m/>
    <n v="552000"/>
    <n v="0"/>
    <n v="-552000"/>
    <n v="-11584975.02"/>
    <n v="1140"/>
    <n v="484.21052631578948"/>
    <n v="0"/>
    <s v="ARS"/>
    <s v="CC"/>
    <s v="MACRO"/>
    <x v="1"/>
    <x v="3"/>
    <x v="3"/>
    <s v="PERIODO FEBRERO 25"/>
    <s v="ANDRES TOLEDO"/>
    <m/>
    <x v="3"/>
    <m/>
    <s v="24/25"/>
    <s v="EGRESOS"/>
    <s v="EFECTIVO Y OTROS ACT LÍQ EQ."/>
  </r>
  <r>
    <x v="2"/>
    <d v="2025-03-18T00:00:00"/>
    <s v="TRANSF. MACRONLINE E-SET D/T"/>
    <m/>
    <n v="20000"/>
    <n v="0"/>
    <n v="-20000"/>
    <n v="-11584975.02"/>
    <n v="1140"/>
    <n v="17.543859649122808"/>
    <n v="0"/>
    <s v="ARS"/>
    <s v="CC"/>
    <s v="MACRO"/>
    <x v="1"/>
    <x v="3"/>
    <x v="13"/>
    <s v="TRASLADO AL CAMPO"/>
    <m/>
    <m/>
    <x v="1"/>
    <m/>
    <s v="24/25"/>
    <s v="EGRESOS"/>
    <s v="EFECTIVO Y OTROS ACT LÍQ EQ."/>
  </r>
  <r>
    <x v="2"/>
    <d v="2025-03-18T00:00:00"/>
    <s v="TRANSF. MACRONLINE E-SET D/T"/>
    <m/>
    <n v="10000"/>
    <n v="0"/>
    <n v="-10000"/>
    <n v="-11584975.02"/>
    <n v="1140"/>
    <n v="8.7719298245614041"/>
    <n v="0"/>
    <s v="ARS"/>
    <s v="CC"/>
    <s v="MACRO"/>
    <x v="1"/>
    <x v="7"/>
    <x v="9"/>
    <m/>
    <m/>
    <m/>
    <x v="1"/>
    <m/>
    <s v="24/25"/>
    <s v="EGRESOS"/>
    <s v="EFECTIVO Y OTROS ACT LÍQ EQ."/>
  </r>
  <r>
    <x v="2"/>
    <d v="2025-03-18T00:00:00"/>
    <s v="TRANSF. MACRONLINE E-SET D/T"/>
    <m/>
    <n v="150000"/>
    <n v="0"/>
    <n v="-150000"/>
    <n v="-11584975.02"/>
    <n v="1140"/>
    <n v="131.57894736842104"/>
    <n v="0"/>
    <s v="ARS"/>
    <s v="CC"/>
    <s v="MACRO"/>
    <x v="1"/>
    <x v="3"/>
    <x v="13"/>
    <m/>
    <s v="MARTIN TOLEDO"/>
    <m/>
    <x v="3"/>
    <m/>
    <s v="24/25"/>
    <s v="EGRESOS"/>
    <s v="EFECTIVO Y OTROS ACT LÍQ EQ."/>
  </r>
  <r>
    <x v="2"/>
    <d v="2025-03-18T00:00:00"/>
    <s v="COMISION TRF. MACROL E-SET"/>
    <m/>
    <n v="121"/>
    <n v="0"/>
    <n v="-121"/>
    <n v="-13464496.02"/>
    <n v="1140"/>
    <n v="0.10614035087719298"/>
    <n v="0"/>
    <s v="ARS"/>
    <s v="CC"/>
    <s v="MACRO"/>
    <x v="1"/>
    <x v="7"/>
    <x v="9"/>
    <m/>
    <m/>
    <m/>
    <x v="1"/>
    <m/>
    <s v="24/25"/>
    <s v="BIENES Y SERVICIOS"/>
    <s v="EFECTIVO Y OTROS ACT LÍQ EQ."/>
  </r>
  <r>
    <x v="2"/>
    <d v="2025-03-18T00:00:00"/>
    <s v="DBCR 25413 S/CR TASA GRAL"/>
    <m/>
    <n v="33303.919999999998"/>
    <n v="0"/>
    <n v="-33303.919999999998"/>
    <n v="-13497799.939999999"/>
    <n v="1140"/>
    <n v="29.213964912280701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2"/>
    <d v="2025-03-19T00:00:00"/>
    <s v="DBCR 25413 S/CR TASA GRAL"/>
    <m/>
    <n v="26.07"/>
    <n v="0"/>
    <n v="-26.07"/>
    <n v="-13522171.01"/>
    <n v="1140"/>
    <n v="2.286842105263158E-2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2"/>
    <d v="2025-03-19T00:00:00"/>
    <s v="SANCORSEG - SANCOR SEGUROS"/>
    <m/>
    <n v="4345"/>
    <n v="0"/>
    <n v="-4345"/>
    <n v="-13522144.939999999"/>
    <n v="1140"/>
    <n v="3.8114035087719298"/>
    <n v="0"/>
    <s v="ARS"/>
    <s v="CC"/>
    <s v="MACRO"/>
    <x v="1"/>
    <x v="7"/>
    <x v="9"/>
    <m/>
    <m/>
    <m/>
    <x v="1"/>
    <m/>
    <s v="24/25"/>
    <s v="EGRESOS"/>
    <s v="EFECTIVO Y OTROS ACT LÍQ EQ."/>
  </r>
  <r>
    <x v="2"/>
    <d v="2025-03-19T00:00:00"/>
    <s v="TRANSF. MACRONLINE E-SET M/T"/>
    <m/>
    <n v="20000"/>
    <n v="0"/>
    <n v="-20000"/>
    <n v="-13517799.939999999"/>
    <n v="1140"/>
    <n v="17.543859649122808"/>
    <n v="0"/>
    <s v="ARS"/>
    <s v="CC"/>
    <s v="MACRO"/>
    <x v="0"/>
    <x v="0"/>
    <x v="0"/>
    <s v="HACIA EL GALICIA"/>
    <m/>
    <m/>
    <x v="0"/>
    <m/>
    <m/>
    <m/>
    <m/>
  </r>
  <r>
    <x v="2"/>
    <d v="2025-03-19T00:00:00"/>
    <s v="DBCR 25413 S/CR TASA GRAL"/>
    <m/>
    <n v="26.07"/>
    <n v="0"/>
    <n v="-26.07"/>
    <n v="-13522171.01"/>
    <n v="1140"/>
    <n v="2.286842105263158E-2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2"/>
    <d v="2025-03-20T00:00:00"/>
    <s v="DGR FINANZAS CBA"/>
    <m/>
    <n v="1173709"/>
    <n v="0"/>
    <n v="-1173709"/>
    <n v="-14695880.01"/>
    <n v="1140"/>
    <n v="1029.5692982456139"/>
    <n v="0"/>
    <s v="ARS"/>
    <s v="CC"/>
    <s v="MACRO"/>
    <x v="1"/>
    <x v="1"/>
    <x v="1"/>
    <s v="CUOTA 4/6"/>
    <s v="RENTAS"/>
    <m/>
    <x v="19"/>
    <m/>
    <s v="24/25"/>
    <s v="EGRESOS"/>
    <s v="EFECTIVO Y OTROS ACT LÍQ EQ."/>
  </r>
  <r>
    <x v="2"/>
    <d v="2025-03-20T00:00:00"/>
    <s v="DBCR 25413 S/CR TASA GRAL"/>
    <m/>
    <n v="7042.25"/>
    <n v="0"/>
    <n v="-7042.25"/>
    <n v="-14702922.26"/>
    <n v="1140"/>
    <n v="6.1774122807017546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2"/>
    <d v="2025-03-21T00:00:00"/>
    <s v="TRANSF. MACRONLINE E-SET M/T"/>
    <m/>
    <n v="550000"/>
    <n v="0"/>
    <n v="-550000"/>
    <n v="-15252922.26"/>
    <n v="1140"/>
    <n v="482.45614035087721"/>
    <n v="0"/>
    <s v="ARS"/>
    <s v="CC"/>
    <s v="MACRO"/>
    <x v="0"/>
    <x v="0"/>
    <x v="0"/>
    <s v="HACIA EL NACION"/>
    <m/>
    <m/>
    <x v="0"/>
    <m/>
    <s v="24/25"/>
    <m/>
    <m/>
  </r>
  <r>
    <x v="2"/>
    <d v="2025-03-21T00:00:00"/>
    <s v="COMISION TRF. MACROL E-SET"/>
    <m/>
    <n v="121"/>
    <n v="0"/>
    <n v="-121"/>
    <n v="-15253043.26"/>
    <n v="1140"/>
    <n v="0.10614035087719298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2"/>
    <d v="2025-03-21T00:00:00"/>
    <s v="TRANSF. MACRONLINE E-SET D/T"/>
    <m/>
    <n v="850000"/>
    <n v="0"/>
    <n v="-850000"/>
    <n v="-16103043.26"/>
    <n v="1140"/>
    <n v="745.61403508771934"/>
    <n v="0"/>
    <s v="ARS"/>
    <s v="CC"/>
    <s v="MACRO"/>
    <x v="1"/>
    <x v="20"/>
    <x v="49"/>
    <m/>
    <s v="FABIANA VICENTIN"/>
    <m/>
    <x v="1"/>
    <m/>
    <s v="24/25"/>
    <s v="EGRESOS"/>
    <s v="EFECTIVO Y OTROS ACT LÍQ EQ."/>
  </r>
  <r>
    <x v="2"/>
    <d v="2025-03-21T00:00:00"/>
    <s v="COMISION TRF. MACROL E-SET"/>
    <m/>
    <n v="121"/>
    <n v="0"/>
    <n v="-121"/>
    <n v="-16103164.26"/>
    <n v="1140"/>
    <n v="0.10614035087719298"/>
    <n v="0"/>
    <s v="ARS"/>
    <s v="CC"/>
    <s v="MACRO"/>
    <x v="1"/>
    <x v="7"/>
    <x v="9"/>
    <m/>
    <m/>
    <m/>
    <x v="1"/>
    <m/>
    <s v="24/25"/>
    <s v="EGRESOS"/>
    <s v="EFECTIVO Y OTROS ACT LÍQ EQ."/>
  </r>
  <r>
    <x v="2"/>
    <d v="2025-03-21T00:00:00"/>
    <s v="DBCR 25413 S/CR TASA GRAL"/>
    <m/>
    <n v="5101.46"/>
    <n v="0"/>
    <n v="-5101.46"/>
    <n v="-16108265.720000001"/>
    <n v="1140"/>
    <n v="4.4749649122807016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2"/>
    <d v="2025-03-21T00:00:00"/>
    <s v="DB TR..AUT.SDO.MISMO TIT."/>
    <m/>
    <n v="1641443.89"/>
    <n v="0"/>
    <n v="-1641443.89"/>
    <n v="-17749709.609999999"/>
    <n v="1140"/>
    <n v="1439.8630614035087"/>
    <n v="0"/>
    <s v="ARS"/>
    <s v="CC"/>
    <s v="MACRO"/>
    <x v="0"/>
    <x v="0"/>
    <x v="0"/>
    <s v="HACIA CA MACRO"/>
    <m/>
    <m/>
    <x v="0"/>
    <m/>
    <s v="24/25"/>
    <m/>
    <m/>
  </r>
  <r>
    <x v="2"/>
    <d v="2025-03-25T00:00:00"/>
    <s v="TRANSF. MACRONLINE E-SET D/T"/>
    <m/>
    <n v="73940"/>
    <n v="0"/>
    <n v="-73940"/>
    <n v="-17823649.609999999"/>
    <n v="1140"/>
    <n v="64.859649122807014"/>
    <n v="0"/>
    <s v="ARS"/>
    <s v="CC"/>
    <s v="MACRO"/>
    <x v="3"/>
    <x v="5"/>
    <x v="7"/>
    <s v="LLAVES DE PASO"/>
    <s v="CIANCIO"/>
    <s v="FA 951"/>
    <x v="6"/>
    <m/>
    <s v="24/25"/>
    <s v="BIENES Y SERVICIOS"/>
    <s v="EFECTIVO Y OTROS ACT LÍQ EQ."/>
  </r>
  <r>
    <x v="2"/>
    <d v="2025-03-25T00:00:00"/>
    <s v="DBCR 25413 S/CR TASA GRAL"/>
    <m/>
    <n v="443.64"/>
    <n v="0"/>
    <n v="-443.64"/>
    <n v="-17824093.25"/>
    <n v="1140"/>
    <n v="0.38915789473684209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2"/>
    <d v="2025-03-26T00:00:00"/>
    <s v="TRANSF. MACRONLINE E-SET M/T"/>
    <m/>
    <n v="1700000"/>
    <n v="0"/>
    <n v="-1700000"/>
    <n v="-19524093.25"/>
    <n v="1140"/>
    <n v="1491.2280701754387"/>
    <n v="0"/>
    <s v="ARS"/>
    <s v="CC"/>
    <s v="MACRO"/>
    <x v="0"/>
    <x v="0"/>
    <x v="0"/>
    <s v="HACIA EL GALICIA"/>
    <m/>
    <m/>
    <x v="0"/>
    <m/>
    <m/>
    <m/>
    <m/>
  </r>
  <r>
    <x v="2"/>
    <d v="2025-03-26T00:00:00"/>
    <s v="COMISION TRF. MACROL E-SET"/>
    <m/>
    <n v="121"/>
    <n v="0"/>
    <n v="-121"/>
    <n v="-19524214.25"/>
    <n v="1140"/>
    <n v="0.10614035087719298"/>
    <n v="0"/>
    <s v="ARS"/>
    <s v="CC"/>
    <s v="MACRO"/>
    <x v="1"/>
    <x v="7"/>
    <x v="9"/>
    <m/>
    <m/>
    <m/>
    <x v="1"/>
    <m/>
    <s v="24/25"/>
    <s v="EGRESOS"/>
    <s v="EFECTIVO Y OTROS ACT LÍQ EQ."/>
  </r>
  <r>
    <x v="2"/>
    <d v="2025-03-26T00:00:00"/>
    <s v="TRANSF. MACRONLINE E-SET D/T"/>
    <m/>
    <n v="30000"/>
    <n v="0"/>
    <n v="-30000"/>
    <n v="-19718214.25"/>
    <n v="1140"/>
    <n v="26.315789473684209"/>
    <n v="0"/>
    <s v="ARS"/>
    <s v="CC"/>
    <s v="MACRO"/>
    <x v="4"/>
    <x v="9"/>
    <x v="12"/>
    <m/>
    <s v="NORMA TOLEDO"/>
    <m/>
    <x v="1"/>
    <m/>
    <s v="24/25"/>
    <s v="EGRESOS"/>
    <s v="EFECTIVO Y OTROS ACT LÍQ EQ."/>
  </r>
  <r>
    <x v="2"/>
    <d v="2025-03-26T00:00:00"/>
    <s v="TRANSF. MACRONLINE E-SET D/T"/>
    <m/>
    <n v="14000"/>
    <n v="0"/>
    <n v="-14000"/>
    <n v="-19718214.25"/>
    <n v="1140"/>
    <n v="12.280701754385966"/>
    <n v="0"/>
    <s v="ARS"/>
    <s v="CC"/>
    <s v="MACRO"/>
    <x v="3"/>
    <x v="8"/>
    <x v="35"/>
    <s v="LAVADERO"/>
    <m/>
    <m/>
    <x v="5"/>
    <m/>
    <s v="24/25"/>
    <s v="BIENES Y SERVICIOS"/>
    <s v="EFECTIVO Y OTROS ACT LÍQ EQ."/>
  </r>
  <r>
    <x v="2"/>
    <d v="2025-03-26T00:00:00"/>
    <s v="TRANSF. MACRONLINE E-SET D/T"/>
    <m/>
    <n v="150000"/>
    <n v="0"/>
    <n v="-150000"/>
    <n v="-19718214.25"/>
    <n v="1140"/>
    <n v="131.57894736842104"/>
    <n v="0"/>
    <s v="ARS"/>
    <s v="CC"/>
    <s v="MACRO"/>
    <x v="1"/>
    <x v="3"/>
    <x v="13"/>
    <m/>
    <s v="MARTIN TOLEDO"/>
    <m/>
    <x v="3"/>
    <m/>
    <s v="24/25"/>
    <s v="EGRESOS"/>
    <s v="EFECTIVO Y OTROS ACT LÍQ EQ."/>
  </r>
  <r>
    <x v="2"/>
    <d v="2025-03-26T00:00:00"/>
    <s v="TRANSF. MACRONLINE E-SET D/T"/>
    <m/>
    <n v="245000"/>
    <n v="0"/>
    <n v="-245000"/>
    <n v="-19963214.25"/>
    <n v="1140"/>
    <n v="214.91228070175438"/>
    <n v="0"/>
    <s v="ARS"/>
    <s v="CC"/>
    <s v="MACRO"/>
    <x v="1"/>
    <x v="2"/>
    <x v="2"/>
    <s v="PAGO TELEFONO "/>
    <s v="RAUL"/>
    <m/>
    <x v="2"/>
    <s v="RAUL"/>
    <s v="24/25"/>
    <s v="FUTURAS UT. ADL RAUL"/>
    <s v="EFECTIVO Y OTROS ACT LÍQ EQ."/>
  </r>
  <r>
    <x v="2"/>
    <d v="2025-03-26T00:00:00"/>
    <s v="DBCR 25413 S/CR TASA GRAL"/>
    <m/>
    <n v="2634.73"/>
    <n v="0"/>
    <n v="-2634.73"/>
    <n v="-19965848.98"/>
    <n v="1140"/>
    <n v="2.3111666666666668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2"/>
    <d v="2025-03-26T00:00:00"/>
    <s v="DBCR 25413 S/CR TASA GRAL"/>
    <m/>
    <n v="2634.73"/>
    <n v="0"/>
    <n v="-2634.73"/>
    <n v="-19965848.98"/>
    <n v="1140"/>
    <n v="2.3111666666666668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2"/>
    <d v="2025-03-27T00:00:00"/>
    <s v="TRANSF. MACRONLINE E-SET M/T"/>
    <m/>
    <n v="70000"/>
    <n v="0"/>
    <n v="-70000"/>
    <n v="-20035848.98"/>
    <n v="1140"/>
    <n v="61.403508771929822"/>
    <n v="0"/>
    <s v="ARS"/>
    <s v="CC"/>
    <s v="MACRO"/>
    <x v="0"/>
    <x v="0"/>
    <x v="0"/>
    <s v="HACIA NACION"/>
    <m/>
    <m/>
    <x v="0"/>
    <m/>
    <m/>
    <m/>
    <m/>
  </r>
  <r>
    <x v="2"/>
    <d v="2025-03-27T00:00:00"/>
    <s v="DEBITO FISCAL IVA BASICO"/>
    <m/>
    <n v="1423.17"/>
    <n v="0"/>
    <n v="-1423.17"/>
    <n v="-20037272.149999999"/>
    <n v="1140"/>
    <n v="1.2483947368421053"/>
    <n v="0"/>
    <s v="ARS"/>
    <s v="CC"/>
    <s v="MACRO"/>
    <x v="1"/>
    <x v="1"/>
    <x v="1"/>
    <s v="IVA BASICO"/>
    <m/>
    <m/>
    <x v="1"/>
    <m/>
    <s v="24/25"/>
    <s v="EGRESOS"/>
    <s v="EFECTIVO Y OTROS ACT LÍQ EQ."/>
  </r>
  <r>
    <x v="2"/>
    <d v="2025-03-27T00:00:00"/>
    <s v="DEBITO FISCAL IVA PERCEPCION"/>
    <m/>
    <n v="203.31"/>
    <n v="0"/>
    <n v="-203.31"/>
    <n v="-20037475.460000001"/>
    <n v="1140"/>
    <n v="0.17834210526315789"/>
    <n v="0"/>
    <s v="ARS"/>
    <s v="CC"/>
    <s v="MACRO"/>
    <x v="1"/>
    <x v="1"/>
    <x v="1"/>
    <s v="IVA PERCEPCION"/>
    <m/>
    <m/>
    <x v="1"/>
    <m/>
    <s v="24/25"/>
    <s v="EGRESOS"/>
    <s v="EFECTIVO Y OTROS ACT LÍQ EQ."/>
  </r>
  <r>
    <x v="2"/>
    <d v="2025-03-27T00:00:00"/>
    <s v="COMISION CHQ PAG CLEARING"/>
    <m/>
    <n v="6777"/>
    <n v="0"/>
    <n v="-6777"/>
    <n v="-20044252.460000001"/>
    <n v="1140"/>
    <n v="5.9447368421052635"/>
    <n v="0"/>
    <s v="ARS"/>
    <s v="CC"/>
    <s v="MACRO"/>
    <x v="1"/>
    <x v="7"/>
    <x v="9"/>
    <m/>
    <m/>
    <m/>
    <x v="1"/>
    <m/>
    <s v="24/25"/>
    <s v="EGRESOS"/>
    <s v="EFECTIVO Y OTROS ACT LÍQ EQ."/>
  </r>
  <r>
    <x v="2"/>
    <d v="2025-03-27T00:00:00"/>
    <s v="DBCR 25413 S/CR TASA GRAL"/>
    <m/>
    <n v="50.42"/>
    <n v="0"/>
    <n v="-50.42"/>
    <n v="-20044302.879999999"/>
    <n v="1140"/>
    <n v="4.4228070175438595E-2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2"/>
    <d v="2025-03-28T00:00:00"/>
    <s v="DB TR..AUT.SDO.MISMO TIT."/>
    <m/>
    <n v="52018.25"/>
    <n v="0"/>
    <n v="-52018.25"/>
    <n v="-20096321.129999999"/>
    <n v="1140"/>
    <n v="45.63004385964912"/>
    <n v="0"/>
    <s v="ARS"/>
    <s v="CC"/>
    <s v="MACRO"/>
    <x v="0"/>
    <x v="0"/>
    <x v="0"/>
    <s v="HACIA CA MACRO"/>
    <m/>
    <m/>
    <x v="0"/>
    <m/>
    <m/>
    <m/>
    <m/>
  </r>
  <r>
    <x v="2"/>
    <d v="2025-03-31T00:00:00"/>
    <s v="CHEQUE P/CAMARA"/>
    <s v="N53810351"/>
    <n v="342700"/>
    <n v="0"/>
    <n v="-342700"/>
    <n v="-20439021.129999999"/>
    <n v="1140"/>
    <n v="300.61403508771929"/>
    <n v="0"/>
    <s v="ARS"/>
    <s v="CC"/>
    <s v="MACRO"/>
    <x v="3"/>
    <x v="14"/>
    <x v="35"/>
    <m/>
    <s v="CALAFAT CESAR"/>
    <m/>
    <x v="5"/>
    <m/>
    <s v="24/25"/>
    <s v="BIENES Y SERVICIOS"/>
    <s v="EFECTIVO Y OTROS ACT LÍQ EQ."/>
  </r>
  <r>
    <x v="3"/>
    <d v="2025-04-01T00:00:00"/>
    <s v="DEBITO FISCAL IVA BASICO"/>
    <m/>
    <n v="21999.200000000001"/>
    <n v="0"/>
    <n v="-21999.200000000001"/>
    <n v="-20463076.530000001"/>
    <n v="1140"/>
    <n v="19.297543859649124"/>
    <n v="0"/>
    <s v="ARS"/>
    <s v="CC"/>
    <s v="MACRO"/>
    <x v="1"/>
    <x v="1"/>
    <x v="1"/>
    <s v="DEBITO IVA FISCAL"/>
    <m/>
    <m/>
    <x v="1"/>
    <m/>
    <s v="24/25"/>
    <s v="EGRESOS"/>
    <s v="EFECTIVO Y OTROS ACT LÍQ EQ."/>
  </r>
  <r>
    <x v="3"/>
    <d v="2025-04-01T00:00:00"/>
    <s v="DEBITO FISCAL IVA PERCEPCION"/>
    <m/>
    <n v="3142.74"/>
    <n v="0"/>
    <n v="-3142.74"/>
    <n v="-20466219.27"/>
    <n v="1140"/>
    <n v="2.7567894736842105"/>
    <n v="0"/>
    <s v="ARS"/>
    <s v="CC"/>
    <s v="MACRO"/>
    <x v="1"/>
    <x v="1"/>
    <x v="1"/>
    <s v="IVA PERCEPCION"/>
    <m/>
    <m/>
    <x v="1"/>
    <m/>
    <s v="24/25"/>
    <s v="EGRESOS"/>
    <s v="EFECTIVO Y OTROS ACT LÍQ EQ."/>
  </r>
  <r>
    <x v="3"/>
    <d v="2025-04-01T00:00:00"/>
    <s v="INTER.ADEL.CC C/ACUERD"/>
    <m/>
    <n v="209516.16"/>
    <n v="0"/>
    <n v="-209516.16"/>
    <n v="-20675735.43"/>
    <n v="1140"/>
    <n v="183.78610526315791"/>
    <n v="0"/>
    <s v="ARS"/>
    <s v="CC"/>
    <s v="MACRO"/>
    <x v="1"/>
    <x v="6"/>
    <x v="8"/>
    <m/>
    <m/>
    <m/>
    <x v="1"/>
    <m/>
    <s v="24/25"/>
    <s v="EGRESOS"/>
    <s v="EFECTIVO Y OTROS ACT LÍQ EQ."/>
  </r>
  <r>
    <x v="3"/>
    <d v="2025-04-01T00:00:00"/>
    <s v="DEBITO FISCAL IVA BASICO"/>
    <m/>
    <n v="20863.14"/>
    <n v="0"/>
    <n v="-20863.14"/>
    <n v="-20696598.57"/>
    <n v="1140"/>
    <n v="18.300999999999998"/>
    <n v="0"/>
    <s v="ARS"/>
    <s v="CC"/>
    <s v="MACRO"/>
    <x v="1"/>
    <x v="1"/>
    <x v="1"/>
    <s v="DEBITO IVA FISCAL"/>
    <m/>
    <m/>
    <x v="1"/>
    <m/>
    <s v="24/25"/>
    <s v="EGRESOS"/>
    <s v="EFECTIVO Y OTROS ACT LÍQ EQ."/>
  </r>
  <r>
    <x v="3"/>
    <d v="2025-04-01T00:00:00"/>
    <s v="DEBITO FISCAL IVA PERCEPCION"/>
    <m/>
    <n v="2980.45"/>
    <n v="0"/>
    <n v="-2980.45"/>
    <n v="-20699579.02"/>
    <n v="1140"/>
    <n v="2.6144298245614035"/>
    <n v="0"/>
    <s v="ARS"/>
    <s v="CC"/>
    <s v="MACRO"/>
    <x v="1"/>
    <x v="1"/>
    <x v="1"/>
    <s v="IVA PERCEPCION"/>
    <m/>
    <m/>
    <x v="1"/>
    <m/>
    <s v="24/25"/>
    <s v="EGRESOS"/>
    <s v="EFECTIVO Y OTROS ACT LÍQ EQ."/>
  </r>
  <r>
    <x v="3"/>
    <d v="2025-04-01T00:00:00"/>
    <s v="INTER.ADEL.CC C/ACUERD"/>
    <m/>
    <n v="198696.54"/>
    <n v="0"/>
    <n v="-198696.54"/>
    <n v="-20898275.559999999"/>
    <n v="1140"/>
    <n v="174.2952105263158"/>
    <n v="0"/>
    <s v="ARS"/>
    <s v="CC"/>
    <s v="MACRO"/>
    <x v="1"/>
    <x v="6"/>
    <x v="8"/>
    <m/>
    <m/>
    <m/>
    <x v="1"/>
    <m/>
    <s v="24/25"/>
    <s v="EGRESOS"/>
    <s v="EFECTIVO Y OTROS ACT LÍQ EQ."/>
  </r>
  <r>
    <x v="3"/>
    <d v="2025-04-01T00:00:00"/>
    <s v="DEBITO FISCAL IVA BASICO"/>
    <m/>
    <n v="19.579999999999998"/>
    <n v="0"/>
    <n v="-19.579999999999998"/>
    <n v="-20898295.140000001"/>
    <n v="1140"/>
    <n v="1.7175438596491226E-2"/>
    <n v="0"/>
    <s v="ARS"/>
    <s v="CC"/>
    <s v="MACRO"/>
    <x v="1"/>
    <x v="1"/>
    <x v="1"/>
    <s v="DEBITO IVA FISCAL"/>
    <m/>
    <m/>
    <x v="1"/>
    <m/>
    <s v="24/25"/>
    <s v="EGRESOS"/>
    <s v="EFECTIVO Y OTROS ACT LÍQ EQ."/>
  </r>
  <r>
    <x v="3"/>
    <d v="2025-04-01T00:00:00"/>
    <s v="INTER.ADEL.CC S/ACUERD"/>
    <m/>
    <n v="186.49"/>
    <n v="0"/>
    <n v="-186.49"/>
    <n v="-20898481.629999999"/>
    <n v="1140"/>
    <n v="0.16358771929824562"/>
    <n v="0"/>
    <s v="ARS"/>
    <s v="CC"/>
    <s v="MACRO"/>
    <x v="1"/>
    <x v="6"/>
    <x v="8"/>
    <m/>
    <m/>
    <m/>
    <x v="1"/>
    <m/>
    <s v="24/25"/>
    <s v="EGRESOS"/>
    <s v="EFECTIVO Y OTROS ACT LÍQ EQ."/>
  </r>
  <r>
    <x v="3"/>
    <d v="2025-04-01T00:00:00"/>
    <s v="CHEQUE P/CAMARA"/>
    <s v="N53810353"/>
    <n v="1108898.33"/>
    <n v="0"/>
    <n v="-1108898.33"/>
    <n v="-22007379.960000001"/>
    <n v="1140"/>
    <n v="972.71783333333337"/>
    <n v="0"/>
    <s v="ARS"/>
    <s v="CC"/>
    <s v="MACRO"/>
    <x v="5"/>
    <x v="13"/>
    <x v="36"/>
    <s v="HACIENDA"/>
    <s v="HA COMBUSTIBLES"/>
    <m/>
    <x v="6"/>
    <m/>
    <s v="24/25"/>
    <s v="BIENES Y SERVICIOS"/>
    <s v="EFECTIVO Y OTROS ACT LÍQ EQ."/>
  </r>
  <r>
    <x v="3"/>
    <d v="2025-04-01T00:00:00"/>
    <s v="CHEQUE CANJE INTERNO"/>
    <s v="N53810354"/>
    <n v="440000"/>
    <n v="0"/>
    <n v="-440000"/>
    <n v="-22447379.960000001"/>
    <n v="1140"/>
    <n v="385.96491228070175"/>
    <n v="0"/>
    <s v="ARS"/>
    <s v="CC"/>
    <s v="MACRO"/>
    <x v="5"/>
    <x v="13"/>
    <x v="4"/>
    <s v="HONORARIOS"/>
    <s v="FEDE PICCIOCHI"/>
    <s v="FA322"/>
    <x v="6"/>
    <m/>
    <s v="24/25"/>
    <s v="BIENES Y SERVICIOS"/>
    <s v="EFECTIVO Y OTROS ACT LÍQ EQ."/>
  </r>
  <r>
    <x v="3"/>
    <d v="2025-04-01T00:00:00"/>
    <s v="TRANSF ERRECALDE 20164045693 VAR VARIOS"/>
    <m/>
    <n v="0"/>
    <n v="1500000"/>
    <n v="1500000"/>
    <n v="-20947379.960000001"/>
    <n v="1140"/>
    <n v="0"/>
    <n v="1315.7894736842106"/>
    <s v="ARS"/>
    <s v="CC"/>
    <s v="MACRO"/>
    <x v="1"/>
    <x v="2"/>
    <x v="14"/>
    <m/>
    <s v="RAUL"/>
    <m/>
    <x v="8"/>
    <s v="RAUL"/>
    <s v="24/25"/>
    <s v="EFECTIVO Y OTROS ACT LÍQ EQ."/>
    <s v="APORTES DE CAPITAL"/>
  </r>
  <r>
    <x v="3"/>
    <d v="2025-04-01T00:00:00"/>
    <s v="DEBITO FISCAL IVA BASICO"/>
    <m/>
    <n v="3024"/>
    <n v="0"/>
    <n v="-3024"/>
    <n v="-20950403.960000001"/>
    <n v="1140"/>
    <n v="2.6526315789473682"/>
    <n v="0"/>
    <s v="ARS"/>
    <s v="CC"/>
    <s v="MACRO"/>
    <x v="1"/>
    <x v="1"/>
    <x v="1"/>
    <s v="DEBITO IVA FISCAL"/>
    <m/>
    <m/>
    <x v="1"/>
    <m/>
    <s v="24/25"/>
    <s v="EGRESOS"/>
    <s v="EFECTIVO Y OTROS ACT LÍQ EQ."/>
  </r>
  <r>
    <x v="3"/>
    <d v="2025-04-01T00:00:00"/>
    <s v="DEBITO FISCAL IVA PERCEPCION"/>
    <m/>
    <n v="432"/>
    <n v="0"/>
    <n v="-432"/>
    <n v="-20950835.960000001"/>
    <n v="1140"/>
    <n v="0.37894736842105264"/>
    <n v="0"/>
    <s v="ARS"/>
    <s v="CC"/>
    <s v="MACRO"/>
    <x v="1"/>
    <x v="1"/>
    <x v="1"/>
    <s v="IVA PERCEPCION"/>
    <m/>
    <m/>
    <x v="1"/>
    <m/>
    <s v="24/25"/>
    <s v="EGRESOS"/>
    <s v="EFECTIVO Y OTROS ACT LÍQ EQ."/>
  </r>
  <r>
    <x v="3"/>
    <d v="2025-04-01T00:00:00"/>
    <s v="COMISION CHEQUE CONSULTA"/>
    <m/>
    <n v="14400"/>
    <n v="0"/>
    <n v="-14400"/>
    <n v="-20965235.960000001"/>
    <n v="1140"/>
    <n v="12.631578947368421"/>
    <n v="0"/>
    <s v="ARS"/>
    <s v="CC"/>
    <s v="MACRO"/>
    <x v="1"/>
    <x v="7"/>
    <x v="9"/>
    <m/>
    <m/>
    <m/>
    <x v="1"/>
    <m/>
    <s v="24/25"/>
    <s v="EGRESOS"/>
    <s v="EFECTIVO Y OTROS ACT LÍQ EQ."/>
  </r>
  <r>
    <x v="3"/>
    <d v="2025-04-01T00:00:00"/>
    <s v="DGR SELLOS CORDOBA"/>
    <m/>
    <n v="6198.49"/>
    <n v="0"/>
    <n v="-6198.49"/>
    <n v="-20971434.449999999"/>
    <n v="1140"/>
    <n v="5.4372719298245613"/>
    <n v="0"/>
    <s v="ARS"/>
    <s v="CC"/>
    <s v="MACRO"/>
    <x v="1"/>
    <x v="1"/>
    <x v="1"/>
    <s v="SELLOS"/>
    <m/>
    <m/>
    <x v="1"/>
    <m/>
    <s v="24/25"/>
    <s v="EGRESOS"/>
    <s v="EFECTIVO Y OTROS ACT LÍQ EQ."/>
  </r>
  <r>
    <x v="3"/>
    <d v="2025-04-01T00:00:00"/>
    <s v="DGR SELLOS CORDOBA"/>
    <m/>
    <n v="5599.19"/>
    <n v="0"/>
    <n v="-5599.19"/>
    <n v="-20977033.640000001"/>
    <n v="1140"/>
    <n v="4.9115701754385963"/>
    <n v="0"/>
    <s v="ARS"/>
    <s v="CC"/>
    <s v="MACRO"/>
    <x v="1"/>
    <x v="1"/>
    <x v="1"/>
    <s v="SELLOS"/>
    <m/>
    <m/>
    <x v="1"/>
    <m/>
    <s v="24/25"/>
    <s v="EGRESOS"/>
    <s v="EFECTIVO Y OTROS ACT LÍQ EQ."/>
  </r>
  <r>
    <x v="3"/>
    <d v="2025-04-01T00:00:00"/>
    <s v="DGR SELLOS CORDOBA"/>
    <m/>
    <n v="4.05"/>
    <n v="0"/>
    <n v="-4.05"/>
    <n v="-20977037.690000001"/>
    <n v="1140"/>
    <n v="3.5526315789473684E-3"/>
    <n v="0"/>
    <s v="ARS"/>
    <s v="CC"/>
    <s v="MACRO"/>
    <x v="1"/>
    <x v="1"/>
    <x v="1"/>
    <s v="SELLOS"/>
    <m/>
    <m/>
    <x v="1"/>
    <m/>
    <s v="24/25"/>
    <s v="EGRESOS"/>
    <s v="EFECTIVO Y OTROS ACT LÍQ EQ."/>
  </r>
  <r>
    <x v="3"/>
    <d v="2025-04-01T00:00:00"/>
    <s v="DBCR 25413 S/CR TASA GRAL"/>
    <m/>
    <n v="9000"/>
    <n v="0"/>
    <n v="-9000"/>
    <n v="-20986037.690000001"/>
    <n v="1140"/>
    <n v="7.8947368421052628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3"/>
    <d v="2025-04-01T00:00:00"/>
    <s v="DBCR 25413 S/CR TASA GRAL"/>
    <m/>
    <n v="12215.77"/>
    <n v="0"/>
    <n v="-12215.77"/>
    <n v="-20998253.460000001"/>
    <n v="1140"/>
    <n v="10.715587719298245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3"/>
    <d v="2025-04-03T00:00:00"/>
    <s v="CHEQUE P/CAMARA"/>
    <s v="N53810335"/>
    <n v="4254250"/>
    <n v="0"/>
    <n v="-4254250"/>
    <n v="-25252503.460000001"/>
    <n v="1140"/>
    <n v="3731.7982456140353"/>
    <n v="0"/>
    <s v="ARS"/>
    <s v="CC"/>
    <s v="MACRO"/>
    <x v="2"/>
    <x v="4"/>
    <x v="27"/>
    <s v="SIEMBRA"/>
    <s v="TORTONE"/>
    <m/>
    <x v="5"/>
    <m/>
    <s v="24/25"/>
    <s v="BIENES Y SERVICIOS"/>
    <s v="EFECTIVO Y OTROS ACT LÍQ EQ."/>
  </r>
  <r>
    <x v="3"/>
    <d v="2025-04-03T00:00:00"/>
    <s v="DEBITO FISCAL IVA BASICO"/>
    <m/>
    <n v="3024"/>
    <n v="0"/>
    <n v="-3024"/>
    <n v="-25255527.460000001"/>
    <n v="1140"/>
    <n v="2.6526315789473682"/>
    <n v="0"/>
    <s v="ARS"/>
    <s v="CC"/>
    <s v="MACRO"/>
    <x v="1"/>
    <x v="1"/>
    <x v="1"/>
    <s v="DEBITO IVA FISCAL"/>
    <m/>
    <m/>
    <x v="1"/>
    <m/>
    <s v="24/25"/>
    <s v="EGRESOS"/>
    <s v="EFECTIVO Y OTROS ACT LÍQ EQ."/>
  </r>
  <r>
    <x v="3"/>
    <d v="2025-04-03T00:00:00"/>
    <s v="DEBITO FISCAL IVA PERCEPCION"/>
    <m/>
    <n v="432"/>
    <n v="0"/>
    <n v="-432"/>
    <n v="-25255959.460000001"/>
    <n v="1140"/>
    <n v="0.37894736842105264"/>
    <n v="0"/>
    <s v="ARS"/>
    <s v="CC"/>
    <s v="MACRO"/>
    <x v="1"/>
    <x v="1"/>
    <x v="1"/>
    <s v="IVA PERCEPCION"/>
    <m/>
    <m/>
    <x v="1"/>
    <m/>
    <s v="24/25"/>
    <s v="EGRESOS"/>
    <s v="EFECTIVO Y OTROS ACT LÍQ EQ."/>
  </r>
  <r>
    <x v="3"/>
    <d v="2025-04-03T00:00:00"/>
    <s v="COMISION CHEQUE CONSULTA"/>
    <m/>
    <n v="14400"/>
    <n v="0"/>
    <n v="-14400"/>
    <n v="-25270359.460000001"/>
    <n v="1140"/>
    <n v="12.631578947368421"/>
    <n v="0"/>
    <s v="ARS"/>
    <s v="CC"/>
    <s v="MACRO"/>
    <x v="1"/>
    <x v="7"/>
    <x v="9"/>
    <m/>
    <m/>
    <m/>
    <x v="1"/>
    <m/>
    <s v="24/25"/>
    <s v="EGRESOS"/>
    <s v="EFECTIVO Y OTROS ACT LÍQ EQ."/>
  </r>
  <r>
    <x v="3"/>
    <d v="2025-04-03T00:00:00"/>
    <s v="DBCR 25413 S/CR TASA GRAL"/>
    <m/>
    <n v="25632.639999999999"/>
    <n v="0"/>
    <n v="-25632.639999999999"/>
    <n v="-25295992.100000001"/>
    <n v="1140"/>
    <n v="22.484771929824561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3"/>
    <d v="2025-04-04T00:00:00"/>
    <s v="CHEQUE P/CAMARA"/>
    <s v="N53810349"/>
    <n v="1229406"/>
    <n v="0"/>
    <n v="-1229406"/>
    <n v="-26525398.100000001"/>
    <n v="1140"/>
    <n v="1078.4263157894736"/>
    <n v="0"/>
    <s v="ARS"/>
    <s v="CC"/>
    <s v="MACRO"/>
    <x v="2"/>
    <x v="4"/>
    <x v="5"/>
    <s v="SIEMBRA"/>
    <s v="RODRIGUEZ ARIEL"/>
    <m/>
    <x v="5"/>
    <m/>
    <s v="24/25"/>
    <s v="BIENES Y SERVICIOS"/>
    <s v="EFECTIVO Y OTROS ACT LÍQ EQ."/>
  </r>
  <r>
    <x v="3"/>
    <d v="2025-04-04T00:00:00"/>
    <s v="TRANSF 20164045693 VAR"/>
    <m/>
    <n v="0"/>
    <n v="700000"/>
    <n v="700000"/>
    <n v="-25825398.100000001"/>
    <n v="1140"/>
    <n v="0"/>
    <n v="614.03508771929819"/>
    <s v="ARS"/>
    <s v="CC"/>
    <s v="MACRO"/>
    <x v="1"/>
    <x v="2"/>
    <x v="14"/>
    <m/>
    <s v="RAUL"/>
    <m/>
    <x v="8"/>
    <s v="RAUL"/>
    <s v="24/25"/>
    <s v="EFECTIVO Y OTROS ACT LÍQ EQ."/>
    <s v="APORTES DE CAPITAL"/>
  </r>
  <r>
    <x v="3"/>
    <d v="2025-04-04T00:00:00"/>
    <s v="TRANSF 30708920882 VAR"/>
    <m/>
    <n v="0"/>
    <n v="520000"/>
    <n v="520000"/>
    <n v="-25305398.100000001"/>
    <n v="1140"/>
    <n v="0"/>
    <n v="456.14035087719299"/>
    <s v="ARS"/>
    <s v="CC"/>
    <s v="MACRO"/>
    <x v="0"/>
    <x v="0"/>
    <x v="0"/>
    <s v="DESDE CC NACION"/>
    <m/>
    <m/>
    <x v="0"/>
    <m/>
    <s v="24/25"/>
    <m/>
    <m/>
  </r>
  <r>
    <x v="3"/>
    <d v="2025-04-04T00:00:00"/>
    <s v="TRANSF ERRECALDE 20164045693 VAR VARIOS"/>
    <m/>
    <n v="0"/>
    <n v="30000"/>
    <n v="30000"/>
    <n v="-25275398.100000001"/>
    <n v="1140"/>
    <n v="0"/>
    <n v="26.315789473684209"/>
    <s v="ARS"/>
    <s v="CC"/>
    <s v="MACRO"/>
    <x v="1"/>
    <x v="2"/>
    <x v="14"/>
    <m/>
    <s v="RAUL"/>
    <m/>
    <x v="8"/>
    <s v="RAUL"/>
    <s v="24/25"/>
    <s v="EFECTIVO Y OTROS ACT LÍQ EQ."/>
    <s v="APORTES DE CAPITAL"/>
  </r>
  <r>
    <x v="3"/>
    <d v="2025-04-04T00:00:00"/>
    <s v="DEBITO FISCAL IVA BASICO"/>
    <m/>
    <n v="3024"/>
    <n v="0"/>
    <n v="-3024"/>
    <n v="-25278422.100000001"/>
    <n v="1140"/>
    <n v="2.6526315789473682"/>
    <n v="0"/>
    <s v="ARS"/>
    <s v="CC"/>
    <s v="MACRO"/>
    <x v="1"/>
    <x v="1"/>
    <x v="1"/>
    <s v="DEBITO IVA FISCAL"/>
    <m/>
    <m/>
    <x v="1"/>
    <m/>
    <s v="24/25"/>
    <s v="EGRESOS"/>
    <s v="EFECTIVO Y OTROS ACT LÍQ EQ."/>
  </r>
  <r>
    <x v="3"/>
    <d v="2025-04-04T00:00:00"/>
    <s v="DEBITO FISCAL IVA PERCEPCION"/>
    <m/>
    <n v="432"/>
    <n v="0"/>
    <n v="-432"/>
    <n v="-25278854.100000001"/>
    <n v="1140"/>
    <n v="0.37894736842105264"/>
    <n v="0"/>
    <s v="ARS"/>
    <s v="CC"/>
    <s v="MACRO"/>
    <x v="1"/>
    <x v="1"/>
    <x v="1"/>
    <s v="IVA PERCEPCION"/>
    <m/>
    <m/>
    <x v="1"/>
    <m/>
    <s v="24/25"/>
    <s v="EGRESOS"/>
    <s v="EFECTIVO Y OTROS ACT LÍQ EQ."/>
  </r>
  <r>
    <x v="3"/>
    <d v="2025-04-04T00:00:00"/>
    <s v="COMISION CHEQUE CONSULTA"/>
    <m/>
    <n v="14400"/>
    <n v="0"/>
    <n v="-14400"/>
    <n v="-25293254.100000001"/>
    <n v="1140"/>
    <n v="12.631578947368421"/>
    <n v="0"/>
    <s v="ARS"/>
    <s v="CC"/>
    <s v="MACRO"/>
    <x v="1"/>
    <x v="7"/>
    <x v="9"/>
    <m/>
    <m/>
    <m/>
    <x v="1"/>
    <m/>
    <s v="24/25"/>
    <s v="EGRESOS"/>
    <s v="EFECTIVO Y OTROS ACT LÍQ EQ."/>
  </r>
  <r>
    <x v="3"/>
    <d v="2025-04-04T00:00:00"/>
    <s v="DBCR 25413 S/CR TASA GRAL"/>
    <m/>
    <n v="4380"/>
    <n v="0"/>
    <n v="-4380"/>
    <n v="-25297634.100000001"/>
    <n v="1140"/>
    <n v="3.8421052631578947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3"/>
    <d v="2025-04-04T00:00:00"/>
    <s v="DBCR 25413 S/CR TASA GRAL"/>
    <m/>
    <n v="7483.58"/>
    <n v="0"/>
    <n v="-7483.58"/>
    <n v="-25305117.68"/>
    <n v="1140"/>
    <n v="6.564543859649123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3"/>
    <d v="2025-04-09T00:00:00"/>
    <s v="CHEQUE P/CAMARA"/>
    <s v="N53810357"/>
    <n v="250000"/>
    <n v="0"/>
    <n v="-250000"/>
    <n v="-25555117.68"/>
    <n v="1140"/>
    <n v="219.2982456140351"/>
    <n v="0"/>
    <s v="ARS"/>
    <s v="CC"/>
    <s v="MACRO"/>
    <x v="1"/>
    <x v="3"/>
    <x v="3"/>
    <s v="ADELANTO SUELDO"/>
    <s v="ANDRES TOLEDO"/>
    <m/>
    <x v="3"/>
    <m/>
    <s v="24/25"/>
    <s v="EGRESOS"/>
    <s v="EFECTIVO Y OTROS ACT LÍQ EQ."/>
  </r>
  <r>
    <x v="3"/>
    <d v="2025-04-09T00:00:00"/>
    <s v="TEF DATANET MT G E S A 30708920882"/>
    <m/>
    <n v="0"/>
    <n v="300000"/>
    <n v="300000"/>
    <n v="-25255117.68"/>
    <n v="1140"/>
    <n v="0"/>
    <n v="263.15789473684208"/>
    <s v="ARS"/>
    <s v="CC"/>
    <s v="MACRO"/>
    <x v="0"/>
    <x v="0"/>
    <x v="0"/>
    <s v="DESDE GALICIA"/>
    <m/>
    <m/>
    <x v="0"/>
    <m/>
    <m/>
    <m/>
    <m/>
  </r>
  <r>
    <x v="3"/>
    <d v="2025-04-09T00:00:00"/>
    <s v="TEF DATANET MT G E S A 30708920882"/>
    <m/>
    <n v="0"/>
    <n v="4300000"/>
    <n v="4300000"/>
    <n v="-20955117.68"/>
    <n v="1140"/>
    <n v="0"/>
    <n v="3771.9298245614036"/>
    <s v="ARS"/>
    <s v="CC"/>
    <s v="MACRO"/>
    <x v="0"/>
    <x v="0"/>
    <x v="0"/>
    <s v="DESDE GALICIA"/>
    <m/>
    <m/>
    <x v="0"/>
    <m/>
    <m/>
    <m/>
    <m/>
  </r>
  <r>
    <x v="3"/>
    <d v="2025-04-09T00:00:00"/>
    <s v="DEBITO FISCAL IVA BASICO"/>
    <m/>
    <n v="3024"/>
    <n v="0"/>
    <n v="-3024"/>
    <n v="-20958141.68"/>
    <n v="1140"/>
    <n v="2.6526315789473682"/>
    <n v="0"/>
    <s v="ARS"/>
    <s v="CC"/>
    <s v="MACRO"/>
    <x v="1"/>
    <x v="1"/>
    <x v="1"/>
    <s v="DEBITO IVA FISCAL"/>
    <m/>
    <m/>
    <x v="1"/>
    <m/>
    <s v="24/25"/>
    <s v="EGRESOS"/>
    <s v="EFECTIVO Y OTROS ACT LÍQ EQ."/>
  </r>
  <r>
    <x v="3"/>
    <d v="2025-04-09T00:00:00"/>
    <s v="DEBITO FISCAL IVA PERCEPCION"/>
    <m/>
    <n v="432"/>
    <n v="0"/>
    <n v="-432"/>
    <n v="-20958573.68"/>
    <n v="1140"/>
    <n v="0.37894736842105264"/>
    <n v="0"/>
    <s v="ARS"/>
    <s v="CC"/>
    <s v="MACRO"/>
    <x v="1"/>
    <x v="1"/>
    <x v="1"/>
    <s v="IVA PERCEPCION"/>
    <m/>
    <m/>
    <x v="1"/>
    <m/>
    <s v="24/25"/>
    <s v="EGRESOS"/>
    <s v="EFECTIVO Y OTROS ACT LÍQ EQ."/>
  </r>
  <r>
    <x v="3"/>
    <d v="2025-04-09T00:00:00"/>
    <s v="COMISION CHEQUE CONSULTA"/>
    <m/>
    <n v="14400"/>
    <n v="0"/>
    <n v="-14400"/>
    <n v="-20972973.68"/>
    <n v="1140"/>
    <n v="12.631578947368421"/>
    <n v="0"/>
    <s v="ARS"/>
    <s v="CC"/>
    <s v="MACRO"/>
    <x v="1"/>
    <x v="7"/>
    <x v="9"/>
    <m/>
    <m/>
    <m/>
    <x v="1"/>
    <m/>
    <s v="24/25"/>
    <s v="EGRESOS"/>
    <s v="EFECTIVO Y OTROS ACT LÍQ EQ."/>
  </r>
  <r>
    <x v="3"/>
    <d v="2025-04-09T00:00:00"/>
    <s v="DBCR 25413 S/CR TASA GRAL"/>
    <m/>
    <n v="1607.14"/>
    <n v="0"/>
    <n v="-1607.14"/>
    <n v="-20974580.82"/>
    <n v="1140"/>
    <n v="1.4097719298245615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3"/>
    <d v="2025-04-14T00:00:00"/>
    <s v="TEF DATANET MT G E S A 30708920882"/>
    <m/>
    <n v="0"/>
    <n v="1200000"/>
    <n v="1200000"/>
    <n v="-19774580.82"/>
    <n v="1170"/>
    <n v="0"/>
    <n v="1025.6410256410256"/>
    <s v="ARS"/>
    <s v="CC"/>
    <s v="MACRO"/>
    <x v="0"/>
    <x v="0"/>
    <x v="0"/>
    <s v="DESDE GALICIA"/>
    <m/>
    <m/>
    <x v="0"/>
    <m/>
    <m/>
    <m/>
    <m/>
  </r>
  <r>
    <x v="3"/>
    <d v="2025-04-16T00:00:00"/>
    <s v="CHEQUE P/CAMARA"/>
    <s v="N53810337"/>
    <n v="4254250"/>
    <n v="0"/>
    <n v="-4254250"/>
    <n v="-24028830.82"/>
    <n v="1170"/>
    <n v="3636.1111111111113"/>
    <n v="0"/>
    <s v="ARS"/>
    <s v="CC"/>
    <s v="MACRO"/>
    <x v="2"/>
    <x v="4"/>
    <x v="27"/>
    <s v="SIEMBRA"/>
    <s v="TORTONE"/>
    <m/>
    <x v="5"/>
    <m/>
    <s v="24/25"/>
    <s v="BIENES Y SERVICIOS"/>
    <s v="EFECTIVO Y OTROS ACT LÍQ EQ."/>
  </r>
  <r>
    <x v="3"/>
    <d v="2025-04-16T00:00:00"/>
    <s v="CHEQUE P/CAMARA"/>
    <s v="N53810340"/>
    <n v="1356000"/>
    <n v="0"/>
    <n v="-1356000"/>
    <n v="-25384830.82"/>
    <n v="1170"/>
    <n v="1158.9743589743589"/>
    <n v="0"/>
    <s v="ARS"/>
    <s v="CC"/>
    <s v="MACRO"/>
    <x v="2"/>
    <x v="4"/>
    <x v="5"/>
    <s v="APLICACIONES"/>
    <s v="CLERICI JUAN PABLO"/>
    <s v="FA31, 32, 33"/>
    <x v="6"/>
    <m/>
    <s v="24/25"/>
    <s v="BIENES Y SERVICIOS"/>
    <s v="EFECTIVO Y OTROS ACT LÍQ EQ."/>
  </r>
  <r>
    <x v="3"/>
    <d v="2025-04-16T00:00:00"/>
    <s v="TRANSF G Y E SA 30708920882 VAR VARIOS 161104"/>
    <m/>
    <n v="0"/>
    <n v="1200000"/>
    <n v="1200000"/>
    <n v="-24184830.82"/>
    <n v="1170"/>
    <n v="0"/>
    <n v="1025.6410256410256"/>
    <s v="ARS"/>
    <s v="CC"/>
    <s v="MACRO"/>
    <x v="0"/>
    <x v="0"/>
    <x v="0"/>
    <s v="DESDE CC NACION"/>
    <m/>
    <m/>
    <x v="0"/>
    <m/>
    <s v="24/25"/>
    <m/>
    <m/>
  </r>
  <r>
    <x v="3"/>
    <d v="2025-04-16T00:00:00"/>
    <s v="TRANSF G Y E SA 30708920882 VAR VARIOS 161104"/>
    <m/>
    <n v="0"/>
    <n v="1000000"/>
    <n v="1000000"/>
    <n v="-23184830.82"/>
    <n v="1170"/>
    <n v="0"/>
    <n v="854.70085470085473"/>
    <s v="ARS"/>
    <s v="CC"/>
    <s v="MACRO"/>
    <x v="0"/>
    <x v="0"/>
    <x v="0"/>
    <s v="DESDE CC NACION"/>
    <m/>
    <m/>
    <x v="0"/>
    <m/>
    <s v="24/25"/>
    <m/>
    <m/>
  </r>
  <r>
    <x v="3"/>
    <d v="2025-04-16T00:00:00"/>
    <s v="TEF DATANET MT G E S A 30708920882"/>
    <m/>
    <n v="0"/>
    <n v="2100000"/>
    <n v="2100000"/>
    <n v="-21084830.82"/>
    <n v="1170"/>
    <n v="0"/>
    <n v="1794.8717948717949"/>
    <s v="ARS"/>
    <s v="CC"/>
    <s v="MACRO"/>
    <x v="0"/>
    <x v="0"/>
    <x v="0"/>
    <s v="DESDE GALICIA"/>
    <m/>
    <m/>
    <x v="0"/>
    <m/>
    <s v="24/25"/>
    <m/>
    <m/>
  </r>
  <r>
    <x v="3"/>
    <d v="2025-04-16T00:00:00"/>
    <s v="TRANSF G Y E SA 30708920882 VAR VARIOS 161104"/>
    <m/>
    <n v="0"/>
    <n v="90000"/>
    <n v="90000"/>
    <n v="-20994830.82"/>
    <n v="1170"/>
    <n v="0"/>
    <n v="76.92307692307692"/>
    <s v="ARS"/>
    <s v="CC"/>
    <s v="MACRO"/>
    <x v="0"/>
    <x v="0"/>
    <x v="0"/>
    <s v="DESDE CC NACION"/>
    <m/>
    <m/>
    <x v="0"/>
    <m/>
    <s v="24/25"/>
    <m/>
    <m/>
  </r>
  <r>
    <x v="3"/>
    <d v="2025-04-16T00:00:00"/>
    <s v="DEBITO FISCAL IVA BASICO"/>
    <m/>
    <n v="3024"/>
    <n v="0"/>
    <n v="-3024"/>
    <n v="-20997854.82"/>
    <n v="1170"/>
    <n v="2.5846153846153848"/>
    <n v="0"/>
    <s v="ARS"/>
    <s v="CC"/>
    <s v="MACRO"/>
    <x v="1"/>
    <x v="1"/>
    <x v="1"/>
    <s v="DEBITO IVA FISCAL"/>
    <m/>
    <m/>
    <x v="1"/>
    <m/>
    <s v="24/25"/>
    <s v="EGRESOS"/>
    <s v="EFECTIVO Y OTROS ACT LÍQ EQ."/>
  </r>
  <r>
    <x v="3"/>
    <d v="2025-04-16T00:00:00"/>
    <s v="DEBITO FISCAL IVA PERCEPCION"/>
    <m/>
    <n v="432"/>
    <n v="0"/>
    <n v="-432"/>
    <n v="-20998286.82"/>
    <n v="1170"/>
    <n v="0.36923076923076925"/>
    <n v="0"/>
    <s v="ARS"/>
    <s v="CC"/>
    <s v="MACRO"/>
    <x v="1"/>
    <x v="1"/>
    <x v="1"/>
    <s v="IVA RECEPCION"/>
    <m/>
    <m/>
    <x v="1"/>
    <m/>
    <s v="24/25"/>
    <s v="EGRESOS"/>
    <s v="EFECTIVO Y OTROS ACT LÍQ EQ."/>
  </r>
  <r>
    <x v="3"/>
    <d v="2025-04-16T00:00:00"/>
    <s v="COMISION CHEQUE CONSULTA"/>
    <m/>
    <n v="14400"/>
    <n v="0"/>
    <n v="-14400"/>
    <n v="-21012686.82"/>
    <n v="1170"/>
    <n v="12.307692307692308"/>
    <n v="0"/>
    <s v="ARS"/>
    <s v="CC"/>
    <s v="MACRO"/>
    <x v="1"/>
    <x v="7"/>
    <x v="9"/>
    <m/>
    <m/>
    <m/>
    <x v="1"/>
    <m/>
    <s v="24/25"/>
    <s v="EGRESOS"/>
    <s v="EFECTIVO Y OTROS ACT LÍQ EQ."/>
  </r>
  <r>
    <x v="3"/>
    <d v="2025-04-16T00:00:00"/>
    <s v="DBCR 25413 S/CR TASA GRAL"/>
    <m/>
    <n v="33768.639999999999"/>
    <n v="0"/>
    <n v="-33768.639999999999"/>
    <n v="-21046455.460000001"/>
    <n v="1170"/>
    <n v="28.862085470085468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3"/>
    <d v="2025-04-21T00:00:00"/>
    <s v="CHEQUE P/CAMARA"/>
    <s v="N53810355"/>
    <n v="591074.96"/>
    <n v="0"/>
    <n v="-591074.96"/>
    <n v="-21637530.420000002"/>
    <n v="1170"/>
    <n v="505.19227350427349"/>
    <n v="0"/>
    <s v="ARS"/>
    <s v="CC"/>
    <s v="MACRO"/>
    <x v="5"/>
    <x v="13"/>
    <x v="36"/>
    <s v="HACIENDA"/>
    <s v="TODO CAMPO COMB"/>
    <s v="FA7641"/>
    <x v="6"/>
    <m/>
    <s v="24/25"/>
    <s v="BIENES Y SERVICIOS"/>
    <s v="EFECTIVO Y OTROS ACT LÍQ EQ."/>
  </r>
  <r>
    <x v="3"/>
    <d v="2025-04-21T00:00:00"/>
    <s v="TRANSF G Y E SA 30708920882 VAR VARIOS 161104"/>
    <m/>
    <n v="0"/>
    <n v="650000"/>
    <n v="650000"/>
    <n v="-20987530.420000002"/>
    <n v="1170"/>
    <n v="0"/>
    <n v="555.55555555555554"/>
    <s v="ARS"/>
    <s v="CC"/>
    <s v="MACRO"/>
    <x v="0"/>
    <x v="0"/>
    <x v="0"/>
    <s v="DESDE CC NACION"/>
    <m/>
    <m/>
    <x v="0"/>
    <m/>
    <s v="24/25"/>
    <m/>
    <m/>
  </r>
  <r>
    <x v="3"/>
    <d v="2025-04-21T00:00:00"/>
    <s v="SANCORSEG - SANCOR SEGUROS"/>
    <m/>
    <n v="8067"/>
    <n v="0"/>
    <n v="-8067"/>
    <n v="-20995597.420000002"/>
    <n v="1170"/>
    <n v="6.8948717948717952"/>
    <n v="0"/>
    <s v="ARS"/>
    <s v="CC"/>
    <s v="MACRO"/>
    <x v="1"/>
    <x v="7"/>
    <x v="9"/>
    <m/>
    <m/>
    <m/>
    <x v="1"/>
    <m/>
    <s v="24/25"/>
    <s v="EGRESOS"/>
    <s v="EFECTIVO Y OTROS ACT LÍQ EQ."/>
  </r>
  <r>
    <x v="3"/>
    <d v="2025-04-21T00:00:00"/>
    <s v="DEBITO FISCAL IVA BASICO"/>
    <m/>
    <n v="3024"/>
    <n v="0"/>
    <n v="-3024"/>
    <n v="-20998621.420000002"/>
    <n v="1170"/>
    <n v="2.5846153846153848"/>
    <n v="0"/>
    <s v="ARS"/>
    <s v="CC"/>
    <s v="MACRO"/>
    <x v="1"/>
    <x v="1"/>
    <x v="1"/>
    <s v="DEBITO IVA FISCAL"/>
    <m/>
    <m/>
    <x v="1"/>
    <m/>
    <s v="24/25"/>
    <s v="EGRESOS"/>
    <s v="EFECTIVO Y OTROS ACT LÍQ EQ."/>
  </r>
  <r>
    <x v="3"/>
    <d v="2025-04-21T00:00:00"/>
    <s v="DEBITO FISCAL IVA PERCEPCION"/>
    <m/>
    <n v="432"/>
    <n v="0"/>
    <n v="-432"/>
    <n v="-20999053.420000002"/>
    <n v="1170"/>
    <n v="0.36923076923076925"/>
    <n v="0"/>
    <s v="ARS"/>
    <s v="CC"/>
    <s v="MACRO"/>
    <x v="1"/>
    <x v="1"/>
    <x v="1"/>
    <s v="IVA RECEPCION"/>
    <m/>
    <m/>
    <x v="1"/>
    <m/>
    <s v="24/25"/>
    <s v="EGRESOS"/>
    <s v="EFECTIVO Y OTROS ACT LÍQ EQ."/>
  </r>
  <r>
    <x v="3"/>
    <d v="2025-04-21T00:00:00"/>
    <s v="COMISION CHEQUE CONSULTA"/>
    <m/>
    <n v="14400"/>
    <n v="0"/>
    <n v="-14400"/>
    <n v="-21013453.420000002"/>
    <n v="1170"/>
    <n v="12.307692307692308"/>
    <n v="0"/>
    <s v="ARS"/>
    <s v="CC"/>
    <s v="MACRO"/>
    <x v="1"/>
    <x v="7"/>
    <x v="9"/>
    <m/>
    <m/>
    <m/>
    <x v="1"/>
    <m/>
    <s v="24/25"/>
    <s v="EGRESOS"/>
    <s v="EFECTIVO Y OTROS ACT LÍQ EQ."/>
  </r>
  <r>
    <x v="3"/>
    <d v="2025-04-21T00:00:00"/>
    <s v="DBCR 25413 S/CR TASA GRAL"/>
    <m/>
    <n v="3701.99"/>
    <n v="0"/>
    <n v="-3701.99"/>
    <n v="-21017155.41"/>
    <n v="1170"/>
    <n v="3.1640940170940168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3"/>
    <d v="2025-04-28T00:00:00"/>
    <s v="CHEQUE P/CAMARA"/>
    <s v="N53810356"/>
    <n v="85050"/>
    <n v="0"/>
    <n v="-85050"/>
    <n v="-21102205.41"/>
    <n v="1170"/>
    <n v="72.692307692307693"/>
    <n v="0"/>
    <s v="ARS"/>
    <s v="CC"/>
    <s v="MACRO"/>
    <x v="3"/>
    <x v="5"/>
    <x v="28"/>
    <s v="MES ENERO, FEB"/>
    <s v="CHICHIN PICCO"/>
    <m/>
    <x v="7"/>
    <m/>
    <s v="24/25"/>
    <s v="BIENES Y SERVICIOS"/>
    <s v="EFECTIVO Y OTROS ACT LÍQ EQ."/>
  </r>
  <r>
    <x v="3"/>
    <d v="2025-04-28T00:00:00"/>
    <s v="TRANSF ERRECALDE 20164045693 VAR VARIOS"/>
    <m/>
    <n v="0"/>
    <n v="110000"/>
    <n v="110000"/>
    <n v="-20992205.41"/>
    <n v="1170"/>
    <n v="0"/>
    <n v="94.017094017094024"/>
    <s v="ARS"/>
    <s v="CC"/>
    <s v="MACRO"/>
    <x v="1"/>
    <x v="2"/>
    <x v="14"/>
    <m/>
    <s v="RAUL"/>
    <m/>
    <x v="8"/>
    <s v="RAUL"/>
    <s v="24/25"/>
    <s v="EFECTIVO Y OTROS ACT LÍQ EQ."/>
    <s v="APORTES DE CAPITAL"/>
  </r>
  <r>
    <x v="3"/>
    <d v="2025-04-28T00:00:00"/>
    <s v="DEBITO FISCAL IVA BASICO"/>
    <m/>
    <n v="1394.4"/>
    <n v="0"/>
    <n v="-1394.4"/>
    <n v="-20993599.809999999"/>
    <n v="1170"/>
    <n v="1.1917948717948719"/>
    <n v="0"/>
    <s v="ARS"/>
    <s v="CC"/>
    <s v="MACRO"/>
    <x v="1"/>
    <x v="1"/>
    <x v="1"/>
    <s v="DEBITO IVA FISCAL"/>
    <m/>
    <m/>
    <x v="1"/>
    <m/>
    <s v="24/25"/>
    <s v="EGRESOS"/>
    <s v="EFECTIVO Y OTROS ACT LÍQ EQ."/>
  </r>
  <r>
    <x v="3"/>
    <d v="2025-04-28T00:00:00"/>
    <s v="DEBITO FISCAL IVA PERCEPCION"/>
    <m/>
    <n v="199.2"/>
    <n v="0"/>
    <n v="-199.2"/>
    <n v="-20993799.010000002"/>
    <n v="1170"/>
    <n v="0.17025641025641025"/>
    <n v="0"/>
    <s v="ARS"/>
    <s v="CC"/>
    <s v="MACRO"/>
    <x v="1"/>
    <x v="1"/>
    <x v="1"/>
    <s v="IVA PERCEPCION"/>
    <m/>
    <m/>
    <x v="1"/>
    <m/>
    <s v="24/25"/>
    <s v="EGRESOS"/>
    <s v="EFECTIVO Y OTROS ACT LÍQ EQ."/>
  </r>
  <r>
    <x v="3"/>
    <d v="2025-04-28T00:00:00"/>
    <s v="COMISION CHQ PAG CLEARING"/>
    <m/>
    <n v="6640"/>
    <n v="0"/>
    <n v="-6640"/>
    <n v="-21000439.010000002"/>
    <n v="1170"/>
    <n v="5.6752136752136755"/>
    <n v="0"/>
    <s v="ARS"/>
    <s v="CC"/>
    <s v="MACRO"/>
    <x v="1"/>
    <x v="7"/>
    <x v="9"/>
    <m/>
    <m/>
    <m/>
    <x v="1"/>
    <m/>
    <s v="24/25"/>
    <s v="EGRESOS"/>
    <s v="EFECTIVO Y OTROS ACT LÍQ EQ."/>
  </r>
  <r>
    <x v="3"/>
    <d v="2025-04-28T00:00:00"/>
    <s v="DEBITO FISCAL IVA BASICO"/>
    <m/>
    <n v="3024"/>
    <n v="0"/>
    <n v="-3024"/>
    <n v="-21003463.010000002"/>
    <n v="1170"/>
    <n v="2.5846153846153848"/>
    <n v="0"/>
    <s v="ARS"/>
    <s v="CC"/>
    <s v="MACRO"/>
    <x v="1"/>
    <x v="1"/>
    <x v="1"/>
    <s v="DEBITO IVA FISCAL"/>
    <m/>
    <m/>
    <x v="1"/>
    <m/>
    <s v="24/25"/>
    <s v="EGRESOS"/>
    <s v="EFECTIVO Y OTROS ACT LÍQ EQ."/>
  </r>
  <r>
    <x v="3"/>
    <d v="2025-04-28T00:00:00"/>
    <s v="DEBITO FISCAL IVA PERCEPCION"/>
    <m/>
    <n v="432"/>
    <n v="0"/>
    <n v="-432"/>
    <n v="-21003895.010000002"/>
    <n v="1170"/>
    <n v="0.36923076923076925"/>
    <n v="0"/>
    <s v="ARS"/>
    <s v="CC"/>
    <s v="MACRO"/>
    <x v="1"/>
    <x v="1"/>
    <x v="1"/>
    <s v="IVA PERCEPCION"/>
    <m/>
    <m/>
    <x v="1"/>
    <m/>
    <s v="24/25"/>
    <s v="EGRESOS"/>
    <s v="EFECTIVO Y OTROS ACT LÍQ EQ."/>
  </r>
  <r>
    <x v="3"/>
    <d v="2025-04-28T00:00:00"/>
    <s v="COMISION CHEQUE CONSULTA"/>
    <m/>
    <n v="14400"/>
    <n v="0"/>
    <n v="-14400"/>
    <n v="-21018295.010000002"/>
    <n v="1170"/>
    <n v="12.307692307692308"/>
    <n v="0"/>
    <s v="ARS"/>
    <s v="CC"/>
    <s v="MACRO"/>
    <x v="1"/>
    <x v="7"/>
    <x v="9"/>
    <m/>
    <m/>
    <m/>
    <x v="1"/>
    <m/>
    <s v="24/25"/>
    <s v="EGRESOS"/>
    <s v="EFECTIVO Y OTROS ACT LÍQ EQ."/>
  </r>
  <r>
    <x v="3"/>
    <d v="2025-04-28T00:00:00"/>
    <s v="DBCR 25413 S/CR TASA GRAL"/>
    <m/>
    <n v="660"/>
    <n v="0"/>
    <n v="-660"/>
    <n v="-21018955.010000002"/>
    <n v="1170"/>
    <n v="0.5641025641025641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3"/>
    <d v="2025-04-28T00:00:00"/>
    <s v="DBCR 25413 S/CR TASA GRAL"/>
    <m/>
    <n v="666.84"/>
    <n v="0"/>
    <n v="-666.84"/>
    <n v="-21019621.850000001"/>
    <n v="1170"/>
    <n v="0.56994871794871793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3"/>
    <d v="2025-04-29T00:00:00"/>
    <s v="CHEQUE P/CAMARA"/>
    <s v="N53810359"/>
    <n v="811420.13"/>
    <n v="0"/>
    <n v="-811420.13"/>
    <n v="-21831041.98"/>
    <n v="1170"/>
    <n v="693.52147863247865"/>
    <n v="0"/>
    <s v="ARS"/>
    <s v="CC"/>
    <s v="MACRO"/>
    <x v="5"/>
    <x v="13"/>
    <x v="36"/>
    <s v="HACIENDA"/>
    <s v="TODO CAMPO COMB"/>
    <s v="FA 7952"/>
    <x v="6"/>
    <m/>
    <s v="24/25"/>
    <s v="BIENES Y SERVICIOS"/>
    <s v="EFECTIVO Y OTROS ACT LÍQ EQ."/>
  </r>
  <r>
    <x v="3"/>
    <d v="2025-04-29T00:00:00"/>
    <s v="TRANSF ERRECALDE 20164045693 VAR VARIOS"/>
    <m/>
    <n v="0"/>
    <n v="850000"/>
    <n v="850000"/>
    <n v="-20981041.98"/>
    <n v="1170"/>
    <n v="0"/>
    <n v="726.49572649572644"/>
    <s v="ARS"/>
    <s v="CC"/>
    <s v="MACRO"/>
    <x v="1"/>
    <x v="2"/>
    <x v="14"/>
    <m/>
    <s v="RAUL"/>
    <m/>
    <x v="8"/>
    <s v="RAUL"/>
    <s v="24/25"/>
    <s v="EFECTIVO Y OTROS ACT LÍQ EQ."/>
    <s v="APORTES DE CAPITAL"/>
  </r>
  <r>
    <x v="3"/>
    <d v="2025-04-29T00:00:00"/>
    <s v="AJUSTE SALDO DEUDA RECUPERO"/>
    <m/>
    <n v="0"/>
    <n v="17155.41"/>
    <n v="17155.41"/>
    <n v="-20963886.57"/>
    <n v="1170"/>
    <n v="0"/>
    <n v="14.66274358974359"/>
    <s v="ARS"/>
    <s v="CC"/>
    <s v="MACRO"/>
    <x v="0"/>
    <x v="19"/>
    <x v="50"/>
    <m/>
    <m/>
    <m/>
    <x v="20"/>
    <m/>
    <s v="24/25"/>
    <s v="EFECTIVO Y OTROS ACT LÍQ EQ."/>
    <s v="INGRESOS"/>
  </r>
  <r>
    <x v="3"/>
    <d v="2025-04-29T00:00:00"/>
    <s v="DEBITO FISCAL IVA BASICO"/>
    <m/>
    <n v="3024"/>
    <n v="0"/>
    <n v="-3024"/>
    <n v="-20966910.57"/>
    <n v="1170"/>
    <n v="2.5846153846153848"/>
    <n v="0"/>
    <s v="ARS"/>
    <s v="CC"/>
    <s v="MACRO"/>
    <x v="1"/>
    <x v="1"/>
    <x v="1"/>
    <s v="DEBITO IVA FISCAL"/>
    <m/>
    <m/>
    <x v="1"/>
    <m/>
    <s v="24/25"/>
    <s v="EGRESOS"/>
    <s v="EFECTIVO Y OTROS ACT LÍQ EQ."/>
  </r>
  <r>
    <x v="3"/>
    <d v="2025-04-29T00:00:00"/>
    <s v="DEBITO FISCAL IVA PERCEPCION"/>
    <m/>
    <n v="432"/>
    <n v="0"/>
    <n v="-432"/>
    <n v="-20967342.57"/>
    <n v="1170"/>
    <n v="0.36923076923076925"/>
    <n v="0"/>
    <s v="ARS"/>
    <s v="CC"/>
    <s v="MACRO"/>
    <x v="1"/>
    <x v="1"/>
    <x v="1"/>
    <s v="IVA PERCEPCION"/>
    <m/>
    <m/>
    <x v="1"/>
    <m/>
    <s v="24/25"/>
    <s v="EGRESOS"/>
    <s v="EFECTIVO Y OTROS ACT LÍQ EQ."/>
  </r>
  <r>
    <x v="3"/>
    <d v="2025-04-29T00:00:00"/>
    <s v="COMISION CHEQUE CONSULTA"/>
    <m/>
    <n v="14400"/>
    <n v="0"/>
    <n v="-14400"/>
    <n v="-20981742.57"/>
    <n v="1170"/>
    <n v="12.307692307692308"/>
    <n v="0"/>
    <s v="ARS"/>
    <s v="CC"/>
    <s v="MACRO"/>
    <x v="1"/>
    <x v="7"/>
    <x v="9"/>
    <m/>
    <m/>
    <m/>
    <x v="1"/>
    <m/>
    <s v="24/25"/>
    <s v="EGRESOS"/>
    <s v="EFECTIVO Y OTROS ACT LÍQ EQ."/>
  </r>
  <r>
    <x v="3"/>
    <d v="2025-04-29T00:00:00"/>
    <s v="DBCR 25413 S/CR TASA GRAL"/>
    <m/>
    <n v="5202.93"/>
    <n v="0"/>
    <n v="-5202.93"/>
    <n v="-20986945.5"/>
    <n v="1170"/>
    <n v="4.4469487179487182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3"/>
    <d v="2025-04-29T00:00:00"/>
    <s v="DBCR 25413 S/CR TASA GRAL"/>
    <m/>
    <n v="4975.66"/>
    <n v="0"/>
    <n v="-4975.66"/>
    <n v="-20991921.16"/>
    <n v="1170"/>
    <n v="4.2527008547008549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3"/>
    <d v="2025-04-29T00:00:00"/>
    <s v="DB TR..AUT.SDO.MISMO TIT."/>
    <m/>
    <n v="57040"/>
    <n v="0"/>
    <n v="-57040"/>
    <n v="-21048961.16"/>
    <n v="1170"/>
    <n v="48.752136752136749"/>
    <n v="0"/>
    <s v="ARS"/>
    <s v="CC"/>
    <s v="MACRO"/>
    <x v="0"/>
    <x v="0"/>
    <x v="0"/>
    <s v="HACIA CA MACRO"/>
    <m/>
    <m/>
    <x v="0"/>
    <m/>
    <m/>
    <m/>
    <m/>
  </r>
  <r>
    <x v="3"/>
    <d v="2025-04-30T00:00:00"/>
    <s v="DB TR..AUT.SDO.MISMO TIT."/>
    <m/>
    <n v="342.24"/>
    <n v="0"/>
    <n v="-342.24"/>
    <n v="-21049303.399999999"/>
    <n v="1170"/>
    <n v="0.29251282051282051"/>
    <n v="0"/>
    <s v="ARS"/>
    <s v="CC"/>
    <s v="MACRO"/>
    <x v="0"/>
    <x v="0"/>
    <x v="0"/>
    <s v="HACIA CA MACRO"/>
    <m/>
    <m/>
    <x v="0"/>
    <m/>
    <m/>
    <m/>
    <m/>
  </r>
  <r>
    <x v="4"/>
    <d v="2025-05-05T00:00:00"/>
    <s v="DEBITO FISCAL IVA BASICO"/>
    <m/>
    <n v="21915.91"/>
    <n v="0"/>
    <n v="-21915.91"/>
    <n v="-21071219.309999999"/>
    <n v="1170"/>
    <n v="18.731547008547007"/>
    <n v="0"/>
    <s v="ARS"/>
    <s v="CC"/>
    <s v="MACRO"/>
    <x v="1"/>
    <x v="1"/>
    <x v="1"/>
    <s v="DEBITO IVA FISCAL"/>
    <m/>
    <m/>
    <x v="1"/>
    <m/>
    <s v="24/25"/>
    <s v="EGRESOS"/>
    <s v="EFECTIVO Y OTROS ACT LÍQ EQ."/>
  </r>
  <r>
    <x v="4"/>
    <d v="2025-05-05T00:00:00"/>
    <s v="DEBITO FISCAL IVA PERCEPCION"/>
    <m/>
    <n v="3130.84"/>
    <n v="0"/>
    <n v="-3130.84"/>
    <n v="-21074350.149999999"/>
    <n v="1170"/>
    <n v="2.675931623931624"/>
    <n v="0"/>
    <s v="ARS"/>
    <s v="CC"/>
    <s v="MACRO"/>
    <x v="1"/>
    <x v="1"/>
    <x v="1"/>
    <s v="IVA PERCEPCION"/>
    <m/>
    <m/>
    <x v="1"/>
    <m/>
    <s v="24/25"/>
    <s v="EGRESOS"/>
    <s v="EFECTIVO Y OTROS ACT LÍQ EQ."/>
  </r>
  <r>
    <x v="4"/>
    <d v="2025-05-05T00:00:00"/>
    <s v="INTER.ADEL.CC C/ACUERD"/>
    <m/>
    <n v="208722.91"/>
    <n v="0"/>
    <n v="-208722.91"/>
    <n v="-21283073.059999999"/>
    <n v="1170"/>
    <n v="178.39564957264957"/>
    <n v="0"/>
    <s v="ARS"/>
    <s v="CC"/>
    <s v="MACRO"/>
    <x v="1"/>
    <x v="6"/>
    <x v="8"/>
    <m/>
    <m/>
    <m/>
    <x v="1"/>
    <m/>
    <s v="24/25"/>
    <s v="EGRESOS"/>
    <s v="EFECTIVO Y OTROS ACT LÍQ EQ."/>
  </r>
  <r>
    <x v="4"/>
    <d v="2025-05-05T00:00:00"/>
    <s v="DEBITO FISCAL IVA BASICO"/>
    <m/>
    <n v="59801.23"/>
    <n v="0"/>
    <n v="-59801.23"/>
    <n v="-21342874.289999999"/>
    <n v="1170"/>
    <n v="51.112162393162393"/>
    <n v="0"/>
    <s v="ARS"/>
    <s v="CC"/>
    <s v="MACRO"/>
    <x v="1"/>
    <x v="1"/>
    <x v="1"/>
    <s v="DEBITO IVA FISCAL"/>
    <m/>
    <m/>
    <x v="1"/>
    <m/>
    <s v="24/25"/>
    <s v="EGRESOS"/>
    <s v="EFECTIVO Y OTROS ACT LÍQ EQ."/>
  </r>
  <r>
    <x v="4"/>
    <d v="2025-05-05T00:00:00"/>
    <s v="DEBITO FISCAL IVA PERCEPCION"/>
    <m/>
    <n v="8543.0300000000007"/>
    <n v="0"/>
    <n v="-8543.0300000000007"/>
    <n v="-21351417.32"/>
    <n v="1170"/>
    <n v="7.3017350427350429"/>
    <n v="0"/>
    <s v="ARS"/>
    <s v="CC"/>
    <s v="MACRO"/>
    <x v="1"/>
    <x v="1"/>
    <x v="1"/>
    <s v="IVA PERCEPCION"/>
    <m/>
    <m/>
    <x v="1"/>
    <m/>
    <s v="24/25"/>
    <s v="EGRESOS"/>
    <s v="EFECTIVO Y OTROS ACT LÍQ EQ."/>
  </r>
  <r>
    <x v="4"/>
    <d v="2025-05-05T00:00:00"/>
    <s v="INTER.ADEL.CC C/ACUERD"/>
    <m/>
    <n v="569535.56000000006"/>
    <n v="0"/>
    <n v="-569535.56000000006"/>
    <n v="-21920952.879999999"/>
    <n v="1170"/>
    <n v="486.78252991452996"/>
    <n v="0"/>
    <s v="ARS"/>
    <s v="CC"/>
    <s v="MACRO"/>
    <x v="1"/>
    <x v="6"/>
    <x v="8"/>
    <m/>
    <m/>
    <m/>
    <x v="1"/>
    <m/>
    <s v="24/25"/>
    <s v="EGRESOS"/>
    <s v="EFECTIVO Y OTROS ACT LÍQ EQ."/>
  </r>
  <r>
    <x v="4"/>
    <d v="2025-05-05T00:00:00"/>
    <s v="DEBITO FISCAL IVA BASICO"/>
    <m/>
    <n v="4513.58"/>
    <n v="0"/>
    <n v="-4513.58"/>
    <n v="-21925466.460000001"/>
    <n v="1170"/>
    <n v="3.8577606837606835"/>
    <n v="0"/>
    <s v="ARS"/>
    <s v="CC"/>
    <s v="MACRO"/>
    <x v="1"/>
    <x v="1"/>
    <x v="1"/>
    <s v="DEBITO IVA FISCAL"/>
    <m/>
    <m/>
    <x v="1"/>
    <m/>
    <s v="24/25"/>
    <s v="EGRESOS"/>
    <s v="EFECTIVO Y OTROS ACT LÍQ EQ."/>
  </r>
  <r>
    <x v="4"/>
    <d v="2025-05-05T00:00:00"/>
    <s v="DEBITO FISCAL IVA PERCEPCION"/>
    <m/>
    <n v="644.79999999999995"/>
    <n v="0"/>
    <n v="-644.79999999999995"/>
    <n v="-21926111.260000002"/>
    <n v="1170"/>
    <n v="0.55111111111111111"/>
    <n v="0"/>
    <s v="ARS"/>
    <s v="CC"/>
    <s v="MACRO"/>
    <x v="1"/>
    <x v="1"/>
    <x v="1"/>
    <s v="IVA PERCEPCION"/>
    <m/>
    <m/>
    <x v="1"/>
    <m/>
    <s v="24/25"/>
    <s v="EGRESOS"/>
    <s v="EFECTIVO Y OTROS ACT LÍQ EQ."/>
  </r>
  <r>
    <x v="4"/>
    <d v="2025-05-05T00:00:00"/>
    <s v="INTER.ADEL.CC S/ACUERD"/>
    <m/>
    <n v="42986.44"/>
    <n v="0"/>
    <n v="-42986.44"/>
    <n v="-21969097.699999999"/>
    <n v="1170"/>
    <n v="36.740547008547011"/>
    <n v="0"/>
    <s v="ARS"/>
    <s v="CC"/>
    <s v="MACRO"/>
    <x v="1"/>
    <x v="6"/>
    <x v="8"/>
    <m/>
    <m/>
    <m/>
    <x v="1"/>
    <m/>
    <s v="24/25"/>
    <s v="EGRESOS"/>
    <s v="EFECTIVO Y OTROS ACT LÍQ EQ."/>
  </r>
  <r>
    <x v="4"/>
    <d v="2025-05-05T00:00:00"/>
    <s v="CHEQUE P/CAMARA"/>
    <s v="N53810362"/>
    <n v="1500000"/>
    <n v="0"/>
    <n v="-1500000"/>
    <n v="-23469097.699999999"/>
    <n v="1170"/>
    <n v="1282.051282051282"/>
    <n v="0"/>
    <s v="ARS"/>
    <s v="CC"/>
    <s v="MACRO"/>
    <x v="5"/>
    <x v="13"/>
    <x v="36"/>
    <s v="HACIENDA"/>
    <s v="HA COMBUSTIBLES"/>
    <m/>
    <x v="6"/>
    <m/>
    <s v="24/25"/>
    <s v="BIENES Y SERVICIOS"/>
    <s v="EFECTIVO Y OTROS ACT LÍQ EQ."/>
  </r>
  <r>
    <x v="4"/>
    <d v="2025-05-05T00:00:00"/>
    <s v="DEBITO FISCAL IVA BASICO"/>
    <m/>
    <n v="3024"/>
    <n v="0"/>
    <n v="-3024"/>
    <n v="-23472121.699999999"/>
    <n v="1170"/>
    <n v="2.5846153846153848"/>
    <n v="0"/>
    <s v="ARS"/>
    <s v="CC"/>
    <s v="MACRO"/>
    <x v="1"/>
    <x v="1"/>
    <x v="1"/>
    <s v="DEBITO IVA FISCAL"/>
    <m/>
    <m/>
    <x v="1"/>
    <m/>
    <s v="24/25"/>
    <s v="EGRESOS"/>
    <s v="EFECTIVO Y OTROS ACT LÍQ EQ."/>
  </r>
  <r>
    <x v="4"/>
    <d v="2025-05-05T00:00:00"/>
    <s v="DEBITO FISCAL IVA PERCEPCION"/>
    <m/>
    <n v="432"/>
    <n v="0"/>
    <n v="-432"/>
    <n v="-23472553.699999999"/>
    <n v="1170"/>
    <n v="0.36923076923076925"/>
    <n v="0"/>
    <s v="ARS"/>
    <s v="CC"/>
    <s v="MACRO"/>
    <x v="1"/>
    <x v="1"/>
    <x v="1"/>
    <s v="IVA PERCEPCION"/>
    <m/>
    <m/>
    <x v="1"/>
    <m/>
    <s v="24/25"/>
    <s v="EGRESOS"/>
    <s v="EFECTIVO Y OTROS ACT LÍQ EQ."/>
  </r>
  <r>
    <x v="4"/>
    <d v="2025-05-05T00:00:00"/>
    <s v="COMISION CHEQUE CONSULTA"/>
    <m/>
    <n v="14400"/>
    <n v="0"/>
    <n v="-14400"/>
    <n v="-23486953.699999999"/>
    <n v="1170"/>
    <n v="12.307692307692308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05T00:00:00"/>
    <s v="DGR SELLOS CORDOBA"/>
    <m/>
    <n v="5914.07"/>
    <n v="0"/>
    <n v="-5914.07"/>
    <n v="-23492867.77"/>
    <n v="1170"/>
    <n v="5.0547606837606835"/>
    <n v="0"/>
    <s v="ARS"/>
    <s v="CC"/>
    <s v="MACRO"/>
    <x v="1"/>
    <x v="1"/>
    <x v="1"/>
    <s v="SELLOS"/>
    <m/>
    <m/>
    <x v="1"/>
    <m/>
    <s v="24/25"/>
    <s v="EGRESOS"/>
    <s v="EFECTIVO Y OTROS ACT LÍQ EQ."/>
  </r>
  <r>
    <x v="4"/>
    <d v="2025-05-05T00:00:00"/>
    <s v="DGR SELLOS CORDOBA"/>
    <m/>
    <n v="876.39"/>
    <n v="0"/>
    <n v="-876.39"/>
    <n v="-23493744.16"/>
    <n v="1170"/>
    <n v="0.74905128205128202"/>
    <n v="0"/>
    <s v="ARS"/>
    <s v="CC"/>
    <s v="MACRO"/>
    <x v="1"/>
    <x v="1"/>
    <x v="1"/>
    <s v="SELLOS"/>
    <m/>
    <m/>
    <x v="1"/>
    <m/>
    <s v="24/25"/>
    <s v="EGRESOS"/>
    <s v="EFECTIVO Y OTROS ACT LÍQ EQ."/>
  </r>
  <r>
    <x v="4"/>
    <d v="2025-05-05T00:00:00"/>
    <s v="DGR SELLOS CORDOBA"/>
    <m/>
    <n v="14999.88"/>
    <n v="0"/>
    <n v="-14999.88"/>
    <n v="-23508744.039999999"/>
    <n v="1170"/>
    <n v="12.820410256410256"/>
    <n v="0"/>
    <s v="ARS"/>
    <s v="CC"/>
    <s v="MACRO"/>
    <x v="1"/>
    <x v="1"/>
    <x v="1"/>
    <s v="SELLOS"/>
    <m/>
    <m/>
    <x v="1"/>
    <m/>
    <s v="24/25"/>
    <s v="EGRESOS"/>
    <s v="EFECTIVO Y OTROS ACT LÍQ EQ."/>
  </r>
  <r>
    <x v="4"/>
    <d v="2025-05-05T00:00:00"/>
    <s v="DBCR 25413 S/CR TASA GRAL"/>
    <m/>
    <n v="14756.65"/>
    <n v="0"/>
    <n v="-14756.65"/>
    <n v="-23523500.690000001"/>
    <n v="1170"/>
    <n v="12.612521367521367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4"/>
    <d v="2025-05-06T00:00:00"/>
    <s v="CHEQUE P/CAMARA"/>
    <s v="N53810368"/>
    <n v="497090"/>
    <n v="0"/>
    <n v="-497090"/>
    <n v="-24020590.690000001"/>
    <n v="1170"/>
    <n v="424.86324786324786"/>
    <n v="0"/>
    <s v="ARS"/>
    <s v="CC"/>
    <s v="MACRO"/>
    <x v="5"/>
    <x v="13"/>
    <x v="4"/>
    <s v="HONORARIOS"/>
    <s v="FEDE PICCIOCHI"/>
    <s v="FA333"/>
    <x v="6"/>
    <m/>
    <s v="24/25"/>
    <s v="BIENES Y SERVICIOS"/>
    <s v="EFECTIVO Y OTROS ACT LÍQ EQ."/>
  </r>
  <r>
    <x v="4"/>
    <d v="2025-05-06T00:00:00"/>
    <s v="TRANSF LEIVA HER 30710771576 VAR VARIOS"/>
    <m/>
    <n v="0"/>
    <n v="10000000"/>
    <n v="10000000"/>
    <n v="-14020590.689999999"/>
    <n v="1170"/>
    <n v="0"/>
    <n v="8547.0085470085469"/>
    <s v="ARS"/>
    <s v="CC"/>
    <s v="MACRO"/>
    <x v="2"/>
    <x v="4"/>
    <x v="5"/>
    <s v="VENTA"/>
    <s v="LEIVA HNOS"/>
    <m/>
    <x v="14"/>
    <m/>
    <s v="24/25"/>
    <s v="EFECTIVO Y OTROS ACT LÍQ EQ."/>
    <s v="INGRESOS"/>
  </r>
  <r>
    <x v="4"/>
    <d v="2025-05-06T00:00:00"/>
    <s v="DEBITO FISCAL IVA BASICO"/>
    <m/>
    <n v="3024"/>
    <n v="0"/>
    <n v="-3024"/>
    <n v="-14023614.689999999"/>
    <n v="1170"/>
    <n v="2.5846153846153848"/>
    <n v="0"/>
    <s v="ARS"/>
    <s v="CC"/>
    <s v="MACRO"/>
    <x v="1"/>
    <x v="1"/>
    <x v="1"/>
    <s v="DEBITO IVA FISCAL"/>
    <m/>
    <m/>
    <x v="1"/>
    <m/>
    <s v="24/25"/>
    <s v="EGRESOS"/>
    <s v="EFECTIVO Y OTROS ACT LÍQ EQ."/>
  </r>
  <r>
    <x v="4"/>
    <d v="2025-05-06T00:00:00"/>
    <s v="DEBITO FISCAL IVA PERCEPCION"/>
    <m/>
    <n v="432"/>
    <n v="0"/>
    <n v="-432"/>
    <n v="-14024046.689999999"/>
    <n v="1170"/>
    <n v="0.36923076923076925"/>
    <n v="0"/>
    <s v="ARS"/>
    <s v="CC"/>
    <s v="MACRO"/>
    <x v="1"/>
    <x v="1"/>
    <x v="1"/>
    <s v="IVA PERCEPCION"/>
    <m/>
    <m/>
    <x v="1"/>
    <m/>
    <s v="24/25"/>
    <s v="EGRESOS"/>
    <s v="EFECTIVO Y OTROS ACT LÍQ EQ."/>
  </r>
  <r>
    <x v="4"/>
    <d v="2025-05-06T00:00:00"/>
    <s v="COMISION CHEQUE CONSULTA"/>
    <m/>
    <n v="14400"/>
    <n v="0"/>
    <n v="-14400"/>
    <n v="-14038446.689999999"/>
    <n v="1170"/>
    <n v="12.307692307692308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06T00:00:00"/>
    <s v="CHEQUE CANJE INTERNO"/>
    <s v="N53810341"/>
    <n v="1356000"/>
    <n v="0"/>
    <n v="-1356000"/>
    <n v="-15394446.689999999"/>
    <n v="1170"/>
    <n v="1158.9743589743589"/>
    <n v="0"/>
    <s v="ARS"/>
    <s v="CC"/>
    <s v="MACRO"/>
    <x v="2"/>
    <x v="4"/>
    <x v="5"/>
    <s v="APLICACIONES"/>
    <s v="CLERICI JUAN PABLO"/>
    <s v="FA31, 32, 33"/>
    <x v="6"/>
    <m/>
    <s v="24/25"/>
    <s v="BIENES Y SERVICIOS"/>
    <s v="EFECTIVO Y OTROS ACT LÍQ EQ."/>
  </r>
  <r>
    <x v="4"/>
    <d v="2025-05-06T00:00:00"/>
    <s v="DBCR 25413 S/CR TASA GRAL"/>
    <m/>
    <n v="60000"/>
    <n v="0"/>
    <n v="-60000"/>
    <n v="-15454446.689999999"/>
    <n v="1170"/>
    <n v="51.282051282051285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4"/>
    <d v="2025-05-06T00:00:00"/>
    <s v="DBCR 25413 S/CR TASA GRAL"/>
    <m/>
    <n v="11225.68"/>
    <n v="0"/>
    <n v="-11225.68"/>
    <n v="-15465672.369999999"/>
    <n v="1170"/>
    <n v="9.5945982905982916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4"/>
    <d v="2025-05-07T00:00:00"/>
    <s v="CHEQUE P/CAMARA"/>
    <s v="N53810360"/>
    <n v="879500"/>
    <n v="0"/>
    <n v="-879500"/>
    <n v="-16345172.369999999"/>
    <n v="1170"/>
    <n v="751.70940170940173"/>
    <n v="0"/>
    <s v="ARS"/>
    <s v="CC"/>
    <s v="MACRO"/>
    <x v="3"/>
    <x v="5"/>
    <x v="30"/>
    <m/>
    <s v="MERLO"/>
    <m/>
    <x v="6"/>
    <m/>
    <s v="24/25"/>
    <s v="BIENES Y SERVICIOS"/>
    <s v="EFECTIVO Y OTROS ACT LÍQ EQ."/>
  </r>
  <r>
    <x v="4"/>
    <d v="2025-05-07T00:00:00"/>
    <s v="CHEQUE P/CAMARA"/>
    <s v="N53810364"/>
    <n v="1500000"/>
    <n v="0"/>
    <n v="-1500000"/>
    <n v="-17845172.370000001"/>
    <n v="1170"/>
    <n v="1282.051282051282"/>
    <n v="0"/>
    <s v="ARS"/>
    <s v="CC"/>
    <s v="MACRO"/>
    <x v="2"/>
    <x v="4"/>
    <x v="5"/>
    <s v="SIEMBRA"/>
    <s v="RODRIGUEZ ARIEL"/>
    <m/>
    <x v="5"/>
    <m/>
    <s v="24/25"/>
    <s v="BIENES Y SERVICIOS"/>
    <s v="EFECTIVO Y OTROS ACT LÍQ EQ."/>
  </r>
  <r>
    <x v="4"/>
    <d v="2025-05-07T00:00:00"/>
    <s v="TRANSF. MACRONLINE E-SET M/T"/>
    <m/>
    <n v="50000"/>
    <n v="0"/>
    <n v="-50000"/>
    <n v="-17895172.370000001"/>
    <n v="1170"/>
    <n v="42.735042735042732"/>
    <n v="0"/>
    <s v="ARS"/>
    <s v="CC"/>
    <s v="MACRO"/>
    <x v="0"/>
    <x v="0"/>
    <x v="0"/>
    <s v="HACIA CC NACION"/>
    <m/>
    <m/>
    <x v="0"/>
    <m/>
    <m/>
    <m/>
    <m/>
  </r>
  <r>
    <x v="4"/>
    <d v="2025-05-07T00:00:00"/>
    <s v="TRANSF. MACRONLINE E-SET M/T"/>
    <m/>
    <n v="350000"/>
    <n v="0"/>
    <n v="-350000"/>
    <n v="-18245172.370000001"/>
    <n v="1170"/>
    <n v="299.14529914529913"/>
    <n v="0"/>
    <s v="ARS"/>
    <s v="CC"/>
    <s v="MACRO"/>
    <x v="0"/>
    <x v="0"/>
    <x v="0"/>
    <s v="HACIA CC GALICIA"/>
    <m/>
    <m/>
    <x v="0"/>
    <m/>
    <m/>
    <m/>
    <m/>
  </r>
  <r>
    <x v="4"/>
    <d v="2025-05-07T00:00:00"/>
    <s v="COMISION TRF. MACROL E-SET"/>
    <m/>
    <n v="121"/>
    <n v="0"/>
    <n v="-121"/>
    <n v="-18245293.370000001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07T00:00:00"/>
    <s v="TRANSF. MACRONLINE E-SET D/T"/>
    <m/>
    <n v="2000000"/>
    <n v="0"/>
    <n v="-2000000"/>
    <n v="-20245293.370000001"/>
    <n v="1170"/>
    <n v="1709.4017094017095"/>
    <n v="0"/>
    <s v="ARS"/>
    <s v="CC"/>
    <s v="MACRO"/>
    <x v="1"/>
    <x v="2"/>
    <x v="2"/>
    <m/>
    <s v="RAUL"/>
    <m/>
    <x v="2"/>
    <s v="RAUL"/>
    <s v="24/25"/>
    <s v="FUTURAS UT. ADL RAUL"/>
    <s v="EFECTIVO Y OTROS ACT LÍQ EQ."/>
  </r>
  <r>
    <x v="4"/>
    <d v="2025-05-07T00:00:00"/>
    <s v="COMISION TRF. MACROL E-SET"/>
    <m/>
    <n v="121"/>
    <n v="0"/>
    <n v="-121"/>
    <n v="-20245414.370000001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07T00:00:00"/>
    <s v="TRANSF. MACRONLINE E-SET D/T"/>
    <m/>
    <n v="500000"/>
    <n v="0"/>
    <n v="-500000"/>
    <n v="-20745414.370000001"/>
    <n v="1170"/>
    <n v="427.35042735042737"/>
    <n v="0"/>
    <s v="ARS"/>
    <s v="CC"/>
    <s v="MACRO"/>
    <x v="1"/>
    <x v="11"/>
    <x v="26"/>
    <s v="DEVOLUCION APORTADO PARA MARTIIN"/>
    <s v="BECERRA ADRIAN"/>
    <m/>
    <x v="10"/>
    <m/>
    <s v="24/25"/>
    <s v="DEUDAS FINANCIERAS CP"/>
    <s v="EFECTIVO Y OTROS ACT LÍQ EQ."/>
  </r>
  <r>
    <x v="4"/>
    <d v="2025-05-07T00:00:00"/>
    <s v="COMISION TRF. MACROL E-SET"/>
    <m/>
    <n v="121"/>
    <n v="0"/>
    <n v="-121"/>
    <n v="-20745535.370000001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07T00:00:00"/>
    <s v="DBCR 25413 S/CR TASA GRAL"/>
    <m/>
    <n v="29279.19"/>
    <n v="0"/>
    <n v="-29279.19"/>
    <n v="-20774814.559999999"/>
    <n v="1170"/>
    <n v="25.024948717948718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4"/>
    <d v="2025-05-08T00:00:00"/>
    <s v="TEF DATANET PR ACEITERA GENERAL 30502874353"/>
    <m/>
    <n v="0"/>
    <n v="220885.34"/>
    <n v="220885.34"/>
    <n v="-20553929.219999999"/>
    <n v="1170"/>
    <n v="0"/>
    <n v="188.79088888888887"/>
    <s v="ARS"/>
    <s v="CC"/>
    <s v="MACRO"/>
    <x v="2"/>
    <x v="4"/>
    <x v="5"/>
    <s v="VENTA"/>
    <s v="AGD"/>
    <m/>
    <x v="14"/>
    <m/>
    <s v="24/25"/>
    <s v="EFECTIVO Y OTROS ACT LÍQ EQ."/>
    <s v="INGRESOS"/>
  </r>
  <r>
    <x v="4"/>
    <d v="2025-05-08T00:00:00"/>
    <s v="TRANSF. MACRONLINE E-SET D/T"/>
    <m/>
    <n v="400000"/>
    <n v="0"/>
    <n v="-400000"/>
    <n v="-20953929.219999999"/>
    <n v="1170"/>
    <n v="341.88034188034186"/>
    <n v="0"/>
    <s v="ARS"/>
    <s v="CC"/>
    <s v="MACRO"/>
    <x v="1"/>
    <x v="11"/>
    <x v="26"/>
    <s v="DEVOLUCION APORTADO PARA MARTIIN"/>
    <s v="BECERRA ADRIAN"/>
    <m/>
    <x v="10"/>
    <m/>
    <s v="24/25"/>
    <s v="DEUDAS FINANCIERAS CP"/>
    <s v="EFECTIVO Y OTROS ACT LÍQ EQ."/>
  </r>
  <r>
    <x v="4"/>
    <d v="2025-05-08T00:00:00"/>
    <s v="COMISION TRF. MACROL E-SET"/>
    <m/>
    <n v="121"/>
    <n v="0"/>
    <n v="-121"/>
    <n v="-20954050.219999999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08T00:00:00"/>
    <s v="DBCR 25413 S/CR TASA GRAL"/>
    <m/>
    <n v="1325.31"/>
    <n v="0"/>
    <n v="-1325.31"/>
    <n v="-20955375.530000001"/>
    <n v="1170"/>
    <n v="1.1327435897435898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4"/>
    <d v="2025-05-08T00:00:00"/>
    <s v="DBCR 25413 S/CR TASA GRAL"/>
    <m/>
    <n v="2400.73"/>
    <n v="0"/>
    <n v="-2400.73"/>
    <n v="-20957776.260000002"/>
    <n v="1170"/>
    <n v="2.0519059829059829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4"/>
    <d v="2025-05-09T00:00:00"/>
    <s v="TRANSF LEIVA HER 30710771576 VAR VARIOS"/>
    <m/>
    <n v="0"/>
    <n v="8957440.0999999996"/>
    <n v="8957440.0999999996"/>
    <n v="-12000336.16"/>
    <n v="1170"/>
    <n v="0"/>
    <n v="7655.9317094017088"/>
    <s v="ARS"/>
    <s v="CC"/>
    <s v="MACRO"/>
    <x v="2"/>
    <x v="4"/>
    <x v="5"/>
    <s v="VENTA"/>
    <s v="LEIVA HNOS"/>
    <m/>
    <x v="14"/>
    <m/>
    <s v="24/25"/>
    <s v="EFECTIVO Y OTROS ACT LÍQ EQ."/>
    <s v="INGRESOS"/>
  </r>
  <r>
    <x v="4"/>
    <d v="2025-05-09T00:00:00"/>
    <s v="TRANSF. MACRONLINE E-SET D/T"/>
    <m/>
    <n v="2000000"/>
    <n v="0"/>
    <n v="-2000000"/>
    <n v="-14000336.16"/>
    <n v="1170"/>
    <n v="1709.4017094017095"/>
    <n v="0"/>
    <s v="ARS"/>
    <s v="CC"/>
    <s v="MACRO"/>
    <x v="1"/>
    <x v="2"/>
    <x v="2"/>
    <m/>
    <s v="RAUL"/>
    <m/>
    <x v="2"/>
    <s v="RAUL"/>
    <s v="24/25"/>
    <s v="FUTURAS UT. ADL RAUL"/>
    <s v="EFECTIVO Y OTROS ACT LÍQ EQ."/>
  </r>
  <r>
    <x v="4"/>
    <d v="2025-05-09T00:00:00"/>
    <s v="COMISION TRF. MACROL E-SET"/>
    <m/>
    <n v="121"/>
    <n v="0"/>
    <n v="-121"/>
    <n v="-14000457.16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09T00:00:00"/>
    <s v="COMISION TRF. MACROL E-SET"/>
    <m/>
    <n v="121"/>
    <n v="0"/>
    <n v="-121"/>
    <n v="-14500578.16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09T00:00:00"/>
    <s v="DEBITO FISCAL IVA BASICO"/>
    <m/>
    <n v="13860"/>
    <n v="0"/>
    <n v="-13860"/>
    <n v="-14514438.16"/>
    <n v="1170"/>
    <n v="11.846153846153847"/>
    <n v="0"/>
    <s v="ARS"/>
    <s v="CC"/>
    <s v="MACRO"/>
    <x v="1"/>
    <x v="1"/>
    <x v="1"/>
    <s v="DEBITO IVA FISCAL"/>
    <m/>
    <m/>
    <x v="1"/>
    <m/>
    <s v="24/25"/>
    <s v="EGRESOS"/>
    <s v="EFECTIVO Y OTROS ACT LÍQ EQ."/>
  </r>
  <r>
    <x v="4"/>
    <d v="2025-05-09T00:00:00"/>
    <s v="DEBITO FISCAL IVA PERCEPCION"/>
    <m/>
    <n v="1980"/>
    <n v="0"/>
    <n v="-1980"/>
    <n v="-14516418.16"/>
    <n v="1170"/>
    <n v="1.6923076923076923"/>
    <n v="0"/>
    <s v="ARS"/>
    <s v="CC"/>
    <s v="MACRO"/>
    <x v="1"/>
    <x v="1"/>
    <x v="1"/>
    <s v="DEBITO IVA FISCAL"/>
    <m/>
    <m/>
    <x v="1"/>
    <m/>
    <s v="24/25"/>
    <s v="EGRESOS"/>
    <s v="EFECTIVO Y OTROS ACT LÍQ EQ."/>
  </r>
  <r>
    <x v="4"/>
    <d v="2025-05-09T00:00:00"/>
    <s v="COM. SERV DESC NO AUTORIZ."/>
    <m/>
    <n v="66000"/>
    <n v="0"/>
    <n v="-66000"/>
    <n v="-14582418.16"/>
    <n v="1170"/>
    <n v="56.410256410256409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09T00:00:00"/>
    <s v="DBCR 25413 S/CR TASA GRAL"/>
    <m/>
    <n v="53744.639999999999"/>
    <n v="0"/>
    <n v="-53744.639999999999"/>
    <n v="-14636162.800000001"/>
    <n v="1170"/>
    <n v="45.935589743589745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4"/>
    <d v="2025-05-09T00:00:00"/>
    <s v="DBCR 25413 S/CR TASA GRAL"/>
    <m/>
    <n v="15492.5"/>
    <n v="0"/>
    <n v="-15492.5"/>
    <n v="-14651655.300000001"/>
    <n v="1170"/>
    <n v="13.241452991452991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4"/>
    <d v="2025-05-09T00:00:00"/>
    <s v="TRANSF. MACRONLINE E-SET D/T"/>
    <m/>
    <n v="500000"/>
    <n v="0"/>
    <n v="-500000"/>
    <n v="-14500457.16"/>
    <n v="1170"/>
    <n v="427.35042735042737"/>
    <n v="0"/>
    <s v="ARS"/>
    <s v="CC"/>
    <s v="MACRO"/>
    <x v="1"/>
    <x v="2"/>
    <x v="2"/>
    <s v="PARTE MARZO"/>
    <s v="CLAUDIA ERRECALDE"/>
    <m/>
    <x v="15"/>
    <s v="CLAUDIA"/>
    <s v="24/25"/>
    <s v="FUTURAS UT. ADL CLAUDIA"/>
    <s v="EFECTIVO Y OTROS ACT LÍQ EQ."/>
  </r>
  <r>
    <x v="4"/>
    <d v="2025-05-12T00:00:00"/>
    <s v="DEBITO FISCAL IVA BASICO"/>
    <m/>
    <n v="5355"/>
    <n v="0"/>
    <n v="-5355"/>
    <n v="-14657010.300000001"/>
    <n v="1170"/>
    <n v="4.5769230769230766"/>
    <n v="0"/>
    <s v="ARS"/>
    <s v="CC"/>
    <s v="MACRO"/>
    <x v="1"/>
    <x v="1"/>
    <x v="1"/>
    <s v="DEBITO IVA FISCAL"/>
    <m/>
    <m/>
    <x v="1"/>
    <m/>
    <s v="24/25"/>
    <s v="EGRESOS"/>
    <s v="EFECTIVO Y OTROS ACT LÍQ EQ."/>
  </r>
  <r>
    <x v="4"/>
    <d v="2025-05-12T00:00:00"/>
    <s v="DEBITO FISCAL IVA PERCEPCION"/>
    <m/>
    <n v="765"/>
    <n v="0"/>
    <n v="-765"/>
    <n v="-14657775.300000001"/>
    <n v="1170"/>
    <n v="0.65384615384615385"/>
    <n v="0"/>
    <s v="ARS"/>
    <s v="CC"/>
    <s v="MACRO"/>
    <x v="1"/>
    <x v="1"/>
    <x v="1"/>
    <s v="IVA"/>
    <m/>
    <m/>
    <x v="1"/>
    <m/>
    <s v="24/25"/>
    <s v="EGRESOS"/>
    <s v="EFECTIVO Y OTROS ACT LÍQ EQ."/>
  </r>
  <r>
    <x v="4"/>
    <d v="2025-05-12T00:00:00"/>
    <s v="COMISIÀN ADMINISTRACIÀN DE CHEQUERA"/>
    <m/>
    <n v="25500"/>
    <n v="0"/>
    <n v="-25500"/>
    <n v="-14683275.300000001"/>
    <n v="1170"/>
    <n v="21.794871794871796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12T00:00:00"/>
    <s v="TRANSF. MACRONLINE E-SET D/T"/>
    <m/>
    <n v="2000000"/>
    <n v="0"/>
    <n v="-2000000"/>
    <n v="-16683275.300000001"/>
    <n v="1170"/>
    <n v="1709.4017094017095"/>
    <n v="0"/>
    <s v="ARS"/>
    <s v="CC"/>
    <s v="MACRO"/>
    <x v="1"/>
    <x v="2"/>
    <x v="2"/>
    <m/>
    <s v="RAUL"/>
    <m/>
    <x v="2"/>
    <s v="RAUL"/>
    <s v="24/25"/>
    <s v="FUTURAS UT. ADL RAUL"/>
    <s v="EFECTIVO Y OTROS ACT LÍQ EQ."/>
  </r>
  <r>
    <x v="4"/>
    <d v="2025-05-12T00:00:00"/>
    <s v="COMISION TRF. MACROL E-SET"/>
    <m/>
    <n v="121"/>
    <n v="0"/>
    <n v="-121"/>
    <n v="-16683396.300000001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12T00:00:00"/>
    <s v="TRANSF. MACRONLINE E-SET M/T"/>
    <m/>
    <n v="550000"/>
    <n v="0"/>
    <n v="-550000"/>
    <n v="-17233396.300000001"/>
    <n v="1170"/>
    <n v="470.08547008547009"/>
    <n v="0"/>
    <s v="ARS"/>
    <s v="CC"/>
    <s v="MACRO"/>
    <x v="0"/>
    <x v="0"/>
    <x v="0"/>
    <s v="HACIA EL PAMPA"/>
    <m/>
    <m/>
    <x v="0"/>
    <m/>
    <m/>
    <m/>
    <m/>
  </r>
  <r>
    <x v="4"/>
    <d v="2025-05-12T00:00:00"/>
    <s v="COMISION TRF. MACROL E-SET"/>
    <m/>
    <n v="121"/>
    <n v="0"/>
    <n v="-121"/>
    <n v="-17233517.300000001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12T00:00:00"/>
    <s v="TRANSF. MACRONLINE E-SET D/T"/>
    <m/>
    <n v="471318"/>
    <n v="0"/>
    <n v="-471318"/>
    <n v="-17704835.300000001"/>
    <n v="1170"/>
    <n v="402.83589743589744"/>
    <n v="0"/>
    <s v="ARS"/>
    <s v="CC"/>
    <s v="MACRO"/>
    <x v="1"/>
    <x v="3"/>
    <x v="3"/>
    <s v="MES ABRIL"/>
    <s v="KEVIN TOLEDO"/>
    <m/>
    <x v="3"/>
    <m/>
    <s v="24/25"/>
    <s v="EGRESOS"/>
    <s v="EFECTIVO Y OTROS ACT LÍQ EQ."/>
  </r>
  <r>
    <x v="4"/>
    <d v="2025-05-12T00:00:00"/>
    <s v="COMISION TRF. MACROL E-SET"/>
    <m/>
    <n v="121"/>
    <n v="0"/>
    <n v="-121"/>
    <n v="-17704956.300000001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12T00:00:00"/>
    <s v="TRANSF. MACRONLINE E-SET D/T"/>
    <m/>
    <n v="282000"/>
    <n v="0"/>
    <n v="-282000"/>
    <n v="-17986956.300000001"/>
    <n v="1170"/>
    <n v="241.02564102564102"/>
    <n v="0"/>
    <s v="ARS"/>
    <s v="CC"/>
    <s v="MACRO"/>
    <x v="1"/>
    <x v="11"/>
    <x v="26"/>
    <s v="DEVOLUCION APORTADO PARA MARTIIN"/>
    <s v="BECERRA ADRIAN"/>
    <m/>
    <x v="10"/>
    <m/>
    <s v="24/25"/>
    <s v="DEUDAS FINANCIERAS CP"/>
    <s v="EFECTIVO Y OTROS ACT LÍQ EQ."/>
  </r>
  <r>
    <x v="4"/>
    <d v="2025-05-12T00:00:00"/>
    <s v="COMISION TRF. MACROL E-SET"/>
    <m/>
    <n v="18.149999999999999"/>
    <n v="0"/>
    <n v="-18.149999999999999"/>
    <n v="-17986974.449999999"/>
    <n v="1170"/>
    <n v="1.5512820512820512E-2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12T00:00:00"/>
    <s v="TRANSF. MACRONLINE E-SET D/T"/>
    <m/>
    <n v="550000"/>
    <n v="0"/>
    <n v="-550000"/>
    <n v="-18536974.449999999"/>
    <n v="1170"/>
    <n v="470.08547008547009"/>
    <n v="0"/>
    <s v="ARS"/>
    <s v="CC"/>
    <s v="MACRO"/>
    <x v="1"/>
    <x v="3"/>
    <x v="3"/>
    <s v="PERIODO ABRIL"/>
    <s v="ANDRES TOLEDO"/>
    <m/>
    <x v="3"/>
    <m/>
    <s v="24/25"/>
    <s v="EGRESOS"/>
    <s v="EFECTIVO Y OTROS ACT LÍQ EQ."/>
  </r>
  <r>
    <x v="4"/>
    <d v="2025-05-12T00:00:00"/>
    <s v="COMISION TRF. MACROL E-SET"/>
    <m/>
    <n v="121"/>
    <n v="0"/>
    <n v="-121"/>
    <n v="-18537095.449999999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12T00:00:00"/>
    <s v="TRANSF. MACRONLINE E-SET D/T"/>
    <m/>
    <n v="90000"/>
    <n v="0"/>
    <n v="-90000"/>
    <n v="-18627095.449999999"/>
    <n v="1170"/>
    <n v="76.92307692307692"/>
    <n v="0"/>
    <s v="ARS"/>
    <s v="CC"/>
    <s v="MACRO"/>
    <x v="1"/>
    <x v="2"/>
    <x v="23"/>
    <s v="INSCRIPCION DE FEDE"/>
    <s v="CLAUDIA ERRECALDE"/>
    <m/>
    <x v="15"/>
    <s v="CLAUDIA"/>
    <s v="24/25"/>
    <s v="FUTURAS UT. ADL CLAUDIA"/>
    <s v="EFECTIVO Y OTROS ACT LÍQ EQ."/>
  </r>
  <r>
    <x v="4"/>
    <d v="2025-05-12T00:00:00"/>
    <s v="DGR FINANZAS CBA"/>
    <m/>
    <n v="1173709"/>
    <n v="0"/>
    <n v="-1173709"/>
    <n v="-19800804.449999999"/>
    <n v="1170"/>
    <n v="1003.1700854700855"/>
    <n v="0"/>
    <s v="ARS"/>
    <s v="CC"/>
    <s v="MACRO"/>
    <x v="1"/>
    <x v="1"/>
    <x v="1"/>
    <s v="CUOTA 6/6"/>
    <s v="RENTAS"/>
    <m/>
    <x v="19"/>
    <m/>
    <s v="24/25"/>
    <s v="EGRESOS"/>
    <s v="EFECTIVO Y OTROS ACT LÍQ EQ."/>
  </r>
  <r>
    <x v="4"/>
    <d v="2025-05-12T00:00:00"/>
    <s v="DBCR 25413 S/CR TASA GRAL"/>
    <m/>
    <n v="27594.91"/>
    <n v="0"/>
    <n v="-27594.91"/>
    <n v="-19828399.359999999"/>
    <n v="1170"/>
    <n v="23.585393162393164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14T00:00:00"/>
    <s v="CHEQUE P/CAMARA"/>
    <s v="N53810371"/>
    <n v="995000"/>
    <n v="0"/>
    <n v="-995000"/>
    <n v="-20823399.359999999"/>
    <n v="1170"/>
    <n v="850.42735042735046"/>
    <n v="0"/>
    <s v="ARS"/>
    <s v="CC"/>
    <s v="MACRO"/>
    <x v="2"/>
    <x v="4"/>
    <x v="27"/>
    <s v="PICADO (MARGARIA)"/>
    <s v="TODO CAMPO COMB"/>
    <s v="FA 8266"/>
    <x v="6"/>
    <m/>
    <s v="24/25"/>
    <s v="BIENES Y SERVICIOS"/>
    <s v="EFECTIVO Y OTROS ACT LÍQ EQ."/>
  </r>
  <r>
    <x v="4"/>
    <d v="2025-05-14T00:00:00"/>
    <s v="DEBITO FISCAL IVA BASICO"/>
    <m/>
    <n v="3024"/>
    <n v="0"/>
    <n v="-3024"/>
    <n v="-20826423.359999999"/>
    <n v="1170"/>
    <n v="2.5846153846153848"/>
    <n v="0"/>
    <s v="ARS"/>
    <s v="CC"/>
    <s v="MACRO"/>
    <x v="1"/>
    <x v="1"/>
    <x v="1"/>
    <s v="DEBITO IVA FISCAL"/>
    <m/>
    <m/>
    <x v="1"/>
    <m/>
    <s v="24/25"/>
    <s v="EGRESOS"/>
    <s v="EFECTIVO Y OTROS ACT LÍQ EQ."/>
  </r>
  <r>
    <x v="4"/>
    <d v="2025-05-14T00:00:00"/>
    <s v="DEBITO FISCAL IVA PERCEPCION"/>
    <m/>
    <n v="432"/>
    <n v="0"/>
    <n v="-432"/>
    <n v="-20826855.359999999"/>
    <n v="1170"/>
    <n v="0.36923076923076925"/>
    <n v="0"/>
    <s v="ARS"/>
    <s v="CC"/>
    <s v="MACRO"/>
    <x v="1"/>
    <x v="1"/>
    <x v="1"/>
    <s v="IVA PERCEPCION"/>
    <m/>
    <m/>
    <x v="1"/>
    <m/>
    <s v="24/25"/>
    <s v="EGRESOS"/>
    <s v="EFECTIVO Y OTROS ACT LÍQ EQ."/>
  </r>
  <r>
    <x v="4"/>
    <d v="2025-05-14T00:00:00"/>
    <s v="COMISION CHEQUE CONSULTA"/>
    <m/>
    <n v="14400"/>
    <n v="0"/>
    <n v="-14400"/>
    <n v="-20841255.359999999"/>
    <n v="1170"/>
    <n v="12.307692307692308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14T00:00:00"/>
    <s v="DBCR 25413 S/CR TASA GRAL"/>
    <m/>
    <n v="6077.14"/>
    <n v="0"/>
    <n v="-6077.14"/>
    <n v="-20847332.5"/>
    <n v="1170"/>
    <n v="5.1941367521367523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4"/>
    <d v="2025-05-15T00:00:00"/>
    <s v="CHEQUE P/CAMARA"/>
    <s v="N53810358"/>
    <n v="250000"/>
    <n v="0"/>
    <n v="-250000"/>
    <n v="-21097332.5"/>
    <n v="1170"/>
    <n v="213.67521367521368"/>
    <n v="0"/>
    <s v="ARS"/>
    <s v="CC"/>
    <s v="MACRO"/>
    <x v="1"/>
    <x v="3"/>
    <x v="3"/>
    <s v="ADELANTO SUELDO"/>
    <s v="ANDRES TOLEDO"/>
    <m/>
    <x v="3"/>
    <m/>
    <s v="24/25"/>
    <s v="EGRESOS"/>
    <s v="EFECTIVO Y OTROS ACT LÍQ EQ."/>
  </r>
  <r>
    <x v="4"/>
    <d v="2025-05-15T00:00:00"/>
    <s v="TEF DATANET PR SWIFT ARGENTINA SA 30560378056"/>
    <m/>
    <n v="0"/>
    <n v="58177991.899999999"/>
    <n v="58177991.899999999"/>
    <n v="37080659.399999999"/>
    <n v="1170"/>
    <n v="0"/>
    <n v="49724.779401709398"/>
    <s v="ARS"/>
    <s v="CC"/>
    <s v="MACRO"/>
    <x v="5"/>
    <x v="21"/>
    <x v="51"/>
    <s v="VENTA 24/4/2025"/>
    <s v="SWIFT"/>
    <s v="N° Liq: 1615"/>
    <x v="21"/>
    <m/>
    <s v="24/25"/>
    <s v="EFECTIVO Y OTROS ACT LÍQ EQ."/>
    <s v="INGRESOS"/>
  </r>
  <r>
    <x v="4"/>
    <d v="2025-05-15T00:00:00"/>
    <s v="DEBITO FISCAL IVA BASICO"/>
    <m/>
    <n v="3024"/>
    <n v="0"/>
    <n v="-3024"/>
    <n v="37077635.399999999"/>
    <n v="1170"/>
    <n v="2.5846153846153848"/>
    <n v="0"/>
    <s v="ARS"/>
    <s v="CC"/>
    <s v="MACRO"/>
    <x v="1"/>
    <x v="1"/>
    <x v="1"/>
    <s v="DEBITO IVA FISCAL"/>
    <m/>
    <m/>
    <x v="1"/>
    <m/>
    <s v="24/25"/>
    <s v="EGRESOS"/>
    <s v="EFECTIVO Y OTROS ACT LÍQ EQ."/>
  </r>
  <r>
    <x v="4"/>
    <d v="2025-05-15T00:00:00"/>
    <s v="DEBITO FISCAL IVA PERCEPCION"/>
    <m/>
    <n v="432"/>
    <n v="0"/>
    <n v="-432"/>
    <n v="37077203.399999999"/>
    <n v="1170"/>
    <n v="0.36923076923076925"/>
    <n v="0"/>
    <s v="ARS"/>
    <s v="CC"/>
    <s v="MACRO"/>
    <x v="1"/>
    <x v="1"/>
    <x v="1"/>
    <s v="IVA PERCEPCION"/>
    <m/>
    <m/>
    <x v="1"/>
    <m/>
    <s v="24/25"/>
    <s v="EGRESOS"/>
    <s v="EFECTIVO Y OTROS ACT LÍQ EQ."/>
  </r>
  <r>
    <x v="4"/>
    <d v="2025-05-15T00:00:00"/>
    <s v="COMISION CHEQUE CONSULTA"/>
    <m/>
    <n v="14400"/>
    <n v="0"/>
    <n v="-14400"/>
    <n v="37062803.399999999"/>
    <n v="1170"/>
    <n v="12.307692307692308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15T00:00:00"/>
    <s v="DBCR 25413 S/CR TASA GRAL"/>
    <m/>
    <n v="349067.95"/>
    <n v="0"/>
    <n v="-349067.95"/>
    <n v="36713735.450000003"/>
    <n v="1170"/>
    <n v="298.34867521367522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4"/>
    <d v="2025-05-15T00:00:00"/>
    <s v="DBCR 25413 S/CR TASA GRAL"/>
    <m/>
    <n v="1607.14"/>
    <n v="0"/>
    <n v="-1607.14"/>
    <n v="36712128.310000002"/>
    <n v="1170"/>
    <n v="1.3736239316239318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4"/>
    <d v="2025-05-16T00:00:00"/>
    <s v="CHEQUE P/CAMARA"/>
    <s v="N53810363"/>
    <n v="1473485"/>
    <n v="0"/>
    <n v="-1473485"/>
    <n v="35238643.310000002"/>
    <n v="1170"/>
    <n v="1259.3888888888889"/>
    <n v="0"/>
    <s v="ARS"/>
    <s v="CC"/>
    <s v="MACRO"/>
    <x v="5"/>
    <x v="13"/>
    <x v="36"/>
    <s v="HACIENDA"/>
    <s v="HA COMBUSTIBLES"/>
    <m/>
    <x v="6"/>
    <m/>
    <s v="24/25"/>
    <s v="BIENES Y SERVICIOS"/>
    <s v="EFECTIVO Y OTROS ACT LÍQ EQ."/>
  </r>
  <r>
    <x v="4"/>
    <d v="2025-05-16T00:00:00"/>
    <s v="TRANSF. MACRONLINE E-SET M/T"/>
    <m/>
    <n v="1600000"/>
    <n v="0"/>
    <n v="-1600000"/>
    <n v="33638643.310000002"/>
    <n v="1170"/>
    <n v="1367.5213675213674"/>
    <n v="0"/>
    <s v="ARS"/>
    <s v="CC"/>
    <s v="MACRO"/>
    <x v="0"/>
    <x v="0"/>
    <x v="0"/>
    <s v="HACIA CC GALICIA"/>
    <m/>
    <m/>
    <x v="0"/>
    <m/>
    <m/>
    <m/>
    <m/>
  </r>
  <r>
    <x v="4"/>
    <d v="2025-05-16T00:00:00"/>
    <s v="COMISION TRF. MACROL E-SET"/>
    <m/>
    <n v="121"/>
    <n v="0"/>
    <n v="-121"/>
    <n v="33638522.310000002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16T00:00:00"/>
    <s v="TRANSF. MACRONLINE E-SET D/T"/>
    <m/>
    <n v="501925.22"/>
    <n v="0"/>
    <n v="-501925.22"/>
    <n v="33136597.09"/>
    <n v="1170"/>
    <n v="428.9959145299145"/>
    <n v="0"/>
    <s v="ARS"/>
    <s v="CC"/>
    <s v="MACRO"/>
    <x v="3"/>
    <x v="5"/>
    <x v="7"/>
    <m/>
    <s v="FERRRETERIA BULTOR"/>
    <m/>
    <x v="6"/>
    <m/>
    <s v="24/25"/>
    <s v="BIENES Y SERVICIOS"/>
    <s v="EFECTIVO Y OTROS ACT LÍQ EQ."/>
  </r>
  <r>
    <x v="4"/>
    <d v="2025-05-16T00:00:00"/>
    <s v="COMISION TRF. MACROL E-SET"/>
    <m/>
    <n v="121"/>
    <n v="0"/>
    <n v="-121"/>
    <n v="33136476.09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16T00:00:00"/>
    <s v="TRANSF. MACRONLINE E-SET D/T"/>
    <m/>
    <n v="26257"/>
    <n v="0"/>
    <n v="-26257"/>
    <n v="33110219.09"/>
    <n v="1170"/>
    <n v="22.441880341880342"/>
    <n v="0"/>
    <s v="ARS"/>
    <s v="CC"/>
    <s v="MACRO"/>
    <x v="3"/>
    <x v="5"/>
    <x v="7"/>
    <m/>
    <s v="CORRALON RIVADAVIA"/>
    <m/>
    <x v="6"/>
    <m/>
    <s v="24/25"/>
    <s v="BIENES Y SERVICIOS"/>
    <s v="EFECTIVO Y OTROS ACT LÍQ EQ."/>
  </r>
  <r>
    <x v="4"/>
    <d v="2025-05-16T00:00:00"/>
    <s v="TRANSF. MACRONLINE E-SET D/T"/>
    <m/>
    <n v="4700000"/>
    <n v="0"/>
    <n v="-4700000"/>
    <n v="28410219.09"/>
    <n v="1170"/>
    <n v="4017.0940170940171"/>
    <n v="0"/>
    <s v="ARS"/>
    <s v="CC"/>
    <s v="MACRO"/>
    <x v="1"/>
    <x v="11"/>
    <x v="26"/>
    <m/>
    <s v="SANTIAGO ERRECALDE"/>
    <m/>
    <x v="10"/>
    <m/>
    <s v="24/25"/>
    <s v="ACREEDORES CORTO PLAZO"/>
    <s v="EFECTIVO Y OTROS ACT LÍQ EQ."/>
  </r>
  <r>
    <x v="4"/>
    <d v="2025-05-16T00:00:00"/>
    <s v="COMISION TRF. MACROL E-SET"/>
    <m/>
    <n v="121"/>
    <n v="0"/>
    <n v="-121"/>
    <n v="28410098.09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16T00:00:00"/>
    <s v="TRANSF. MACRONLINE E-SET D/T"/>
    <m/>
    <n v="1000000"/>
    <n v="0"/>
    <n v="-1000000"/>
    <n v="27410098.09"/>
    <n v="1170"/>
    <n v="854.70085470085473"/>
    <n v="0"/>
    <s v="ARS"/>
    <s v="CC"/>
    <s v="MACRO"/>
    <x v="1"/>
    <x v="2"/>
    <x v="2"/>
    <m/>
    <s v="RAUL"/>
    <m/>
    <x v="2"/>
    <s v="RAUL"/>
    <s v="24/25"/>
    <s v="FUTURAS UT. ADL RAUL"/>
    <s v="EFECTIVO Y OTROS ACT LÍQ EQ."/>
  </r>
  <r>
    <x v="4"/>
    <d v="2025-05-16T00:00:00"/>
    <s v="COMISION TRF. MACROL E-SET"/>
    <m/>
    <n v="121"/>
    <n v="0"/>
    <n v="-121"/>
    <n v="27409977.09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16T00:00:00"/>
    <s v="DBCR 25413 S/CR TASA GRAL"/>
    <m/>
    <n v="46212.92"/>
    <n v="0"/>
    <n v="-46212.92"/>
    <n v="27363764.170000002"/>
    <n v="1170"/>
    <n v="39.498222222222218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4"/>
    <d v="2025-05-16T00:00:00"/>
    <s v="DB TR..AUT.SDO.MISMO TIT."/>
    <m/>
    <n v="1646260.62"/>
    <n v="0"/>
    <n v="-1646260.62"/>
    <n v="25717503.550000001"/>
    <n v="1170"/>
    <n v="1407.0603589743591"/>
    <n v="0"/>
    <s v="ARS"/>
    <s v="CC"/>
    <s v="MACRO"/>
    <x v="0"/>
    <x v="0"/>
    <x v="0"/>
    <s v="HACIA CA MACRO"/>
    <m/>
    <m/>
    <x v="0"/>
    <m/>
    <m/>
    <m/>
    <m/>
  </r>
  <r>
    <x v="4"/>
    <d v="2025-05-19T00:00:00"/>
    <s v="TRANSF. MACRONLINE E-SET D/T"/>
    <m/>
    <n v="860000"/>
    <n v="0"/>
    <n v="-860000"/>
    <n v="22551213.379999999"/>
    <n v="1170"/>
    <n v="735.04273504273499"/>
    <n v="0"/>
    <s v="ARS"/>
    <s v="CC"/>
    <s v="MACRO"/>
    <x v="1"/>
    <x v="2"/>
    <x v="2"/>
    <s v="ABRIL RESTO"/>
    <s v="CLAUDIA ERRECALDE"/>
    <m/>
    <x v="15"/>
    <s v="CLAUDIA"/>
    <s v="24/25"/>
    <s v="FUTURAS UT. ADL CLAUDIA"/>
    <s v="EFECTIVO Y OTROS ACT LÍQ EQ."/>
  </r>
  <r>
    <x v="4"/>
    <d v="2025-05-19T00:00:00"/>
    <s v="CHEQUE CANJE INTERNO"/>
    <s v="N53810367"/>
    <n v="345300"/>
    <n v="0"/>
    <n v="-345300"/>
    <n v="25372203.550000001"/>
    <n v="1170"/>
    <n v="295.12820512820514"/>
    <n v="0"/>
    <s v="ARS"/>
    <s v="CC"/>
    <s v="MACRO"/>
    <x v="5"/>
    <x v="13"/>
    <x v="21"/>
    <m/>
    <s v="LA YUNTA VET"/>
    <s v="FA 706"/>
    <x v="6"/>
    <m/>
    <s v="24/25"/>
    <s v="BIENES Y SERVICIOS"/>
    <s v="EFECTIVO Y OTROS ACT LÍQ EQ."/>
  </r>
  <r>
    <x v="4"/>
    <d v="2025-05-19T00:00:00"/>
    <s v="TRANSF. MACRONLINE E-SET D/T"/>
    <m/>
    <n v="925558"/>
    <n v="0"/>
    <n v="-925558"/>
    <n v="24446645.550000001"/>
    <n v="1170"/>
    <n v="791.07521367521372"/>
    <n v="0"/>
    <s v="ARS"/>
    <s v="CC"/>
    <s v="MACRO"/>
    <x v="2"/>
    <x v="4"/>
    <x v="4"/>
    <s v="HONORARIOS"/>
    <s v="CESAR DIAZ"/>
    <s v="FA48 FA50"/>
    <x v="6"/>
    <m/>
    <s v="24/25"/>
    <s v="BIENES Y SERVICIOS"/>
    <s v="EFECTIVO Y OTROS ACT LÍQ EQ."/>
  </r>
  <r>
    <x v="4"/>
    <d v="2025-05-19T00:00:00"/>
    <s v="COMISION TRF. MACROL E-SET"/>
    <m/>
    <n v="121"/>
    <n v="0"/>
    <n v="-121"/>
    <n v="24446524.550000001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19T00:00:00"/>
    <s v="TRANSF. MACRONLINE E-SET D/T"/>
    <m/>
    <n v="10000"/>
    <n v="0"/>
    <n v="-10000"/>
    <n v="22551213.379999999"/>
    <n v="1170"/>
    <n v="8.5470085470085468"/>
    <n v="0"/>
    <s v="ARS"/>
    <s v="CC"/>
    <s v="MACRO"/>
    <x v="1"/>
    <x v="2"/>
    <x v="26"/>
    <s v="PARA UATRE"/>
    <s v="CLAUDIA ERRECALDE"/>
    <m/>
    <x v="15"/>
    <s v="CLAUDIA"/>
    <s v="24/25"/>
    <s v="FUTURAS UT. ADL CLAUDIA"/>
    <s v="EFECTIVO Y OTROS ACT LÍQ EQ."/>
  </r>
  <r>
    <x v="4"/>
    <d v="2025-05-19T00:00:00"/>
    <s v="TRANSF. MACRONLINE E-SET D/T"/>
    <m/>
    <n v="1000000"/>
    <n v="0"/>
    <n v="-1000000"/>
    <n v="22551213.379999999"/>
    <n v="1170"/>
    <n v="854.70085470085473"/>
    <n v="0"/>
    <s v="ARS"/>
    <s v="CC"/>
    <s v="MACRO"/>
    <x v="1"/>
    <x v="2"/>
    <x v="2"/>
    <s v="MAYO"/>
    <s v="CLAUDIA ERRECALDE"/>
    <m/>
    <x v="15"/>
    <s v="CLAUDIA"/>
    <s v="24/25"/>
    <s v="FUTURAS UT. ADL CLAUDIA"/>
    <s v="EFECTIVO Y OTROS ACT LÍQ EQ."/>
  </r>
  <r>
    <x v="4"/>
    <d v="2025-05-19T00:00:00"/>
    <s v="TRANSF. MACRONLINE E-SET D/T"/>
    <m/>
    <n v="17000"/>
    <n v="0"/>
    <n v="-17000"/>
    <n v="22551213.379999999"/>
    <n v="1170"/>
    <n v="14.52991452991453"/>
    <n v="0"/>
    <s v="ARS"/>
    <s v="CC"/>
    <s v="MACRO"/>
    <x v="1"/>
    <x v="3"/>
    <x v="3"/>
    <s v="UATRE MAYO"/>
    <s v="ANDRES TOLEDO"/>
    <m/>
    <x v="3"/>
    <m/>
    <s v="24/25"/>
    <s v="EGRESOS"/>
    <s v="EFECTIVO Y OTROS ACT LÍQ EQ."/>
  </r>
  <r>
    <x v="4"/>
    <d v="2025-05-19T00:00:00"/>
    <s v="TRANSF. MACRONLINE E-SET D/T"/>
    <m/>
    <n v="5500"/>
    <n v="0"/>
    <n v="-5500"/>
    <n v="22551213.379999999"/>
    <n v="1170"/>
    <n v="4.700854700854701"/>
    <n v="0"/>
    <s v="ARS"/>
    <s v="CC"/>
    <s v="MACRO"/>
    <x v="1"/>
    <x v="3"/>
    <x v="3"/>
    <s v="OSECAC"/>
    <s v="KEVIN TOLEDO"/>
    <m/>
    <x v="3"/>
    <m/>
    <s v="24/25"/>
    <s v="EGRESOS"/>
    <s v="EFECTIVO Y OTROS ACT LÍQ EQ."/>
  </r>
  <r>
    <x v="4"/>
    <d v="2025-05-19T00:00:00"/>
    <s v="TRANSF. MACRONLINE E-SET D/T"/>
    <m/>
    <n v="2811.17"/>
    <n v="0"/>
    <n v="-2811.17"/>
    <n v="22551213.379999999"/>
    <n v="1170"/>
    <n v="2.4027094017094019"/>
    <n v="0"/>
    <s v="ARS"/>
    <s v="CC"/>
    <s v="MACRO"/>
    <x v="1"/>
    <x v="3"/>
    <x v="3"/>
    <s v="FAESYS"/>
    <s v="KEVIN TOLEDO"/>
    <m/>
    <x v="3"/>
    <m/>
    <s v="24/25"/>
    <s v="EGRESOS"/>
    <s v="EFECTIVO Y OTROS ACT LÍQ EQ."/>
  </r>
  <r>
    <x v="4"/>
    <d v="2025-05-19T00:00:00"/>
    <s v="COMISION TRF. MACROL E-SET"/>
    <m/>
    <n v="121"/>
    <n v="0"/>
    <n v="-121"/>
    <n v="22551092.379999999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19T00:00:00"/>
    <s v="TRANSF. MACRONLINE E-SET D/T"/>
    <m/>
    <n v="100000"/>
    <n v="0"/>
    <n v="-100000"/>
    <n v="22451092.379999999"/>
    <n v="1170"/>
    <n v="85.470085470085465"/>
    <n v="0"/>
    <s v="ARS"/>
    <s v="CC"/>
    <s v="MACRO"/>
    <x v="1"/>
    <x v="3"/>
    <x v="13"/>
    <m/>
    <s v="MARTIN TOLEDO"/>
    <m/>
    <x v="3"/>
    <m/>
    <s v="24/25"/>
    <s v="EGRESOS"/>
    <s v="EFECTIVO Y OTROS ACT LÍQ EQ."/>
  </r>
  <r>
    <x v="4"/>
    <d v="2025-05-19T00:00:00"/>
    <s v="TRANSF. MACRONLINE E-SET D/T"/>
    <m/>
    <n v="2000000"/>
    <n v="0"/>
    <n v="-2000000"/>
    <n v="20451092.379999999"/>
    <n v="1170"/>
    <n v="1709.4017094017095"/>
    <n v="0"/>
    <s v="ARS"/>
    <s v="CC"/>
    <s v="MACRO"/>
    <x v="1"/>
    <x v="2"/>
    <x v="2"/>
    <m/>
    <s v="RAUL"/>
    <m/>
    <x v="2"/>
    <s v="RAUL"/>
    <s v="24/25"/>
    <s v="FUTURAS UT. ADL RAUL"/>
    <s v="EFECTIVO Y OTROS ACT LÍQ EQ."/>
  </r>
  <r>
    <x v="4"/>
    <d v="2025-05-19T00:00:00"/>
    <s v="COMISION TRF. MACROL E-SET"/>
    <m/>
    <n v="121"/>
    <n v="0"/>
    <n v="-121"/>
    <n v="20450971.379999999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19T00:00:00"/>
    <s v="SANCORSEG - SANCOR SEGUROS"/>
    <m/>
    <n v="8067"/>
    <n v="0"/>
    <n v="-8067"/>
    <n v="20442904.379999999"/>
    <n v="1170"/>
    <n v="6.8948717948717952"/>
    <n v="0"/>
    <s v="ARS"/>
    <s v="CC"/>
    <s v="MACRO"/>
    <x v="1"/>
    <x v="7"/>
    <x v="47"/>
    <m/>
    <m/>
    <m/>
    <x v="1"/>
    <m/>
    <s v="24/25"/>
    <s v="EGRESOS"/>
    <s v="EFECTIVO Y OTROS ACT LÍQ EQ."/>
  </r>
  <r>
    <x v="4"/>
    <d v="2025-05-19T00:00:00"/>
    <s v="DBCR 25413 S/CR TASA GRAL"/>
    <m/>
    <n v="31647.61"/>
    <n v="0"/>
    <n v="-31647.61"/>
    <n v="20411256.77"/>
    <n v="1170"/>
    <n v="27.049239316239316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4"/>
    <d v="2025-05-20T00:00:00"/>
    <s v="TRANSF. MACRONLINE E-SET M/T"/>
    <m/>
    <n v="10500000"/>
    <n v="0"/>
    <n v="-10500000"/>
    <n v="9911256.7699999996"/>
    <n v="1170"/>
    <n v="8974.3589743589746"/>
    <n v="0"/>
    <s v="ARS"/>
    <s v="CC"/>
    <s v="MACRO"/>
    <x v="0"/>
    <x v="0"/>
    <x v="0"/>
    <m/>
    <m/>
    <m/>
    <x v="0"/>
    <m/>
    <m/>
    <m/>
    <m/>
  </r>
  <r>
    <x v="4"/>
    <d v="2025-05-20T00:00:00"/>
    <s v="COMISION TRF. MACROL E-SET"/>
    <m/>
    <n v="121"/>
    <n v="0"/>
    <n v="-121"/>
    <n v="9911135.7699999996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20T00:00:00"/>
    <s v="TRANSF. MACRONLINE E-SET D/T"/>
    <m/>
    <n v="27747.72"/>
    <n v="0"/>
    <n v="-27747.72"/>
    <n v="9883388.0500000007"/>
    <n v="1170"/>
    <n v="23.716000000000001"/>
    <n v="0"/>
    <s v="ARS"/>
    <s v="CC"/>
    <s v="MACRO"/>
    <x v="3"/>
    <x v="5"/>
    <x v="52"/>
    <s v="ALAMBRADO"/>
    <s v="CANSECO"/>
    <s v="FA 8330"/>
    <x v="6"/>
    <m/>
    <s v="24/25"/>
    <s v="BIENES Y SERVICIOS"/>
    <s v="EFECTIVO Y OTROS ACT LÍQ EQ."/>
  </r>
  <r>
    <x v="4"/>
    <d v="2025-05-20T00:00:00"/>
    <s v="TRANSF. MACRONLINE E-SET D/T"/>
    <m/>
    <n v="126401.47"/>
    <n v="0"/>
    <n v="-126401.47"/>
    <n v="9756986.5800000001"/>
    <n v="1170"/>
    <n v="108.03544444444445"/>
    <n v="0"/>
    <s v="ARS"/>
    <s v="CC"/>
    <s v="MACRO"/>
    <x v="3"/>
    <x v="5"/>
    <x v="37"/>
    <s v="MOLINO"/>
    <s v="NECRI"/>
    <s v="FA 6821"/>
    <x v="6"/>
    <m/>
    <s v="24/25"/>
    <s v="BIENES Y SERVICIOS"/>
    <s v="EFECTIVO Y OTROS ACT LÍQ EQ."/>
  </r>
  <r>
    <x v="4"/>
    <d v="2025-05-20T00:00:00"/>
    <s v="TRANSF. MACRONLINE E-SET D/T"/>
    <m/>
    <n v="53000"/>
    <n v="0"/>
    <n v="-53000"/>
    <n v="9703986.5800000001"/>
    <n v="1170"/>
    <n v="45.299145299145302"/>
    <n v="0"/>
    <s v="ARS"/>
    <s v="CC"/>
    <s v="MACRO"/>
    <x v="4"/>
    <x v="22"/>
    <x v="53"/>
    <m/>
    <s v="PAMPA SUR"/>
    <m/>
    <x v="1"/>
    <m/>
    <s v="24/25"/>
    <s v="EGRESOS"/>
    <s v="EFECTIVO Y OTROS ACT LÍQ EQ."/>
  </r>
  <r>
    <x v="4"/>
    <d v="2025-05-20T00:00:00"/>
    <s v="TRANSF. MACRONLINE E-SET D/T"/>
    <m/>
    <n v="2100000"/>
    <n v="0"/>
    <n v="-2100000"/>
    <n v="7603986.5800000001"/>
    <n v="1170"/>
    <n v="1794.8717948717949"/>
    <n v="0"/>
    <s v="ARS"/>
    <s v="CC"/>
    <s v="MACRO"/>
    <x v="1"/>
    <x v="11"/>
    <x v="26"/>
    <m/>
    <s v="SANTIAGO ERRECALDE"/>
    <m/>
    <x v="10"/>
    <m/>
    <s v="24/25"/>
    <s v="ACREEDORES CORTO PLAZO"/>
    <s v="EFECTIVO Y OTROS ACT LÍQ EQ."/>
  </r>
  <r>
    <x v="4"/>
    <d v="2025-05-20T00:00:00"/>
    <s v="COMISION TRF. MACROL E-SET"/>
    <m/>
    <n v="121"/>
    <n v="0"/>
    <n v="-121"/>
    <n v="7603865.5800000001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20T00:00:00"/>
    <s v="DBCR 25413 S/CR TASA GRAL"/>
    <m/>
    <n v="13844.36"/>
    <n v="0"/>
    <n v="-13844.36"/>
    <n v="7590021.2199999997"/>
    <n v="1170"/>
    <n v="11.832786324786325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4"/>
    <d v="2025-05-21T00:00:00"/>
    <s v="TRANSF. MACRONLINE E-SET M/T"/>
    <m/>
    <n v="350000"/>
    <n v="0"/>
    <n v="-350000"/>
    <n v="7240021.2199999997"/>
    <n v="1170"/>
    <n v="299.14529914529913"/>
    <n v="0"/>
    <s v="ARS"/>
    <s v="CC"/>
    <s v="MACRO"/>
    <x v="0"/>
    <x v="0"/>
    <x v="0"/>
    <s v="HACIA CC PAMPA"/>
    <m/>
    <m/>
    <x v="0"/>
    <m/>
    <m/>
    <m/>
    <m/>
  </r>
  <r>
    <x v="4"/>
    <d v="2025-05-21T00:00:00"/>
    <s v="COMISION TRF. MACROL E-SET"/>
    <m/>
    <n v="121"/>
    <n v="0"/>
    <n v="-121"/>
    <n v="7239900.2199999997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21T00:00:00"/>
    <s v="TEF DATANET PR ACEITERA GENERAL 30502874353"/>
    <m/>
    <n v="0"/>
    <n v="18613.259999999998"/>
    <n v="18613.259999999998"/>
    <n v="7258513.4800000004"/>
    <n v="1170"/>
    <n v="0"/>
    <n v="15.908769230769229"/>
    <s v="ARS"/>
    <s v="CC"/>
    <s v="MACRO"/>
    <x v="2"/>
    <x v="4"/>
    <x v="5"/>
    <s v="VENTA"/>
    <s v="AGD"/>
    <m/>
    <x v="14"/>
    <m/>
    <s v="24/25"/>
    <s v="EFECTIVO Y OTROS ACT LÍQ EQ."/>
    <s v="INGRESOS"/>
  </r>
  <r>
    <x v="4"/>
    <d v="2025-05-21T00:00:00"/>
    <s v="DBCR 25413 S/CR TASA GRAL"/>
    <m/>
    <n v="111.68"/>
    <n v="0"/>
    <n v="-111.68"/>
    <n v="7258401.7999999998"/>
    <n v="1170"/>
    <n v="9.5452991452991465E-2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4"/>
    <d v="2025-05-21T00:00:00"/>
    <s v="DBCR 25413 S/CR TASA GRAL"/>
    <m/>
    <n v="0.73"/>
    <n v="0"/>
    <n v="-0.73"/>
    <n v="7258401.0700000003"/>
    <n v="1170"/>
    <n v="6.2393162393162391E-4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4"/>
    <d v="2025-05-22T00:00:00"/>
    <s v="CHEQUE P/CAMARA"/>
    <s v="N53810365"/>
    <n v="1500000"/>
    <n v="0"/>
    <n v="-1500000"/>
    <n v="5758401.0700000003"/>
    <n v="1170"/>
    <n v="1282.051282051282"/>
    <n v="0"/>
    <s v="ARS"/>
    <s v="CC"/>
    <s v="MACRO"/>
    <x v="2"/>
    <x v="4"/>
    <x v="5"/>
    <s v="SIEMBRA"/>
    <s v="RODRIGUEZ ARIEL"/>
    <m/>
    <x v="5"/>
    <m/>
    <s v="24/25"/>
    <s v="BIENES Y SERVICIOS"/>
    <s v="EFECTIVO Y OTROS ACT LÍQ EQ."/>
  </r>
  <r>
    <x v="4"/>
    <d v="2025-05-22T00:00:00"/>
    <s v="CHEQUE P/CAMARA"/>
    <s v="N57572069"/>
    <n v="357951"/>
    <n v="0"/>
    <n v="-357951"/>
    <n v="5400450.0700000003"/>
    <n v="1170"/>
    <n v="305.94102564102565"/>
    <n v="0"/>
    <s v="ARS"/>
    <s v="CC"/>
    <s v="MACRO"/>
    <x v="3"/>
    <x v="5"/>
    <x v="7"/>
    <s v="GOMAS"/>
    <s v="GOMERIA ALTAMIRANO (AMETSEN)"/>
    <s v="FA 328"/>
    <x v="6"/>
    <m/>
    <s v="24/25"/>
    <s v="BIENES Y SERVICIOS"/>
    <s v="EFECTIVO Y OTROS ACT LÍQ EQ."/>
  </r>
  <r>
    <x v="4"/>
    <d v="2025-05-22T00:00:00"/>
    <s v="TRANSF. MACRONLINE E-SET D/T"/>
    <m/>
    <n v="15000"/>
    <n v="0"/>
    <n v="-15000"/>
    <n v="5126990.07"/>
    <n v="1170"/>
    <n v="12.820512820512821"/>
    <n v="0"/>
    <s v="ARS"/>
    <s v="CC"/>
    <s v="MACRO"/>
    <x v="3"/>
    <x v="8"/>
    <x v="11"/>
    <s v="LAVADERO"/>
    <m/>
    <m/>
    <x v="5"/>
    <m/>
    <s v="24/25"/>
    <s v="BIENES Y SERVICIOS"/>
    <s v="EFECTIVO Y OTROS ACT LÍQ EQ."/>
  </r>
  <r>
    <x v="4"/>
    <d v="2025-05-22T00:00:00"/>
    <s v="TRANSF. MACRONLINE E-SET D/T"/>
    <m/>
    <n v="108460"/>
    <n v="0"/>
    <n v="-108460"/>
    <n v="5126990.07"/>
    <n v="1170"/>
    <n v="92.700854700854705"/>
    <n v="0"/>
    <s v="ARS"/>
    <s v="CC"/>
    <s v="MACRO"/>
    <x v="3"/>
    <x v="5"/>
    <x v="24"/>
    <m/>
    <s v="DIRECTV"/>
    <m/>
    <x v="6"/>
    <m/>
    <s v="24/25"/>
    <s v="BIENES Y SERVICIOS"/>
    <s v="EFECTIVO Y OTROS ACT LÍQ EQ."/>
  </r>
  <r>
    <x v="4"/>
    <d v="2025-05-22T00:00:00"/>
    <s v="TRANSF. MACRONLINE E-SET D/T"/>
    <m/>
    <n v="150000"/>
    <n v="0"/>
    <n v="-150000"/>
    <n v="5126990.07"/>
    <n v="1170"/>
    <n v="128.2051282051282"/>
    <n v="0"/>
    <s v="ARS"/>
    <s v="CC"/>
    <s v="MACRO"/>
    <x v="1"/>
    <x v="2"/>
    <x v="26"/>
    <s v="TELEFONO"/>
    <s v="RAUL"/>
    <m/>
    <x v="1"/>
    <s v="RAUL"/>
    <s v="24/25"/>
    <s v="EGRESOS"/>
    <s v="EFECTIVO Y OTROS ACT LÍQ EQ."/>
  </r>
  <r>
    <x v="4"/>
    <d v="2025-05-22T00:00:00"/>
    <s v="COMISION TRF. MACROL E-SET"/>
    <m/>
    <n v="18.149999999999999"/>
    <n v="0"/>
    <n v="-18.149999999999999"/>
    <n v="5126971.92"/>
    <n v="1170"/>
    <n v="1.5512820512820512E-2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22T00:00:00"/>
    <s v="DBCR 25413 S/CR TASA GRAL"/>
    <m/>
    <n v="12788.58"/>
    <n v="0"/>
    <n v="-12788.58"/>
    <n v="5114183.34"/>
    <n v="1170"/>
    <n v="10.930410256410257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4"/>
    <d v="2025-05-23T00:00:00"/>
    <s v="CHEQUE P/CAMARA"/>
    <s v="N53810366"/>
    <n v="47567.519999999997"/>
    <n v="0"/>
    <n v="-47567.519999999997"/>
    <n v="5066615.82"/>
    <n v="1170"/>
    <n v="40.655999999999999"/>
    <n v="0"/>
    <s v="ARS"/>
    <s v="CC"/>
    <s v="MACRO"/>
    <x v="3"/>
    <x v="5"/>
    <x v="52"/>
    <m/>
    <s v="CANSECO"/>
    <s v="FA 8250"/>
    <x v="6"/>
    <m/>
    <s v="24/25"/>
    <s v="BIENES Y SERVICIOS"/>
    <s v="EFECTIVO Y OTROS ACT LÍQ EQ."/>
  </r>
  <r>
    <x v="4"/>
    <d v="2025-05-23T00:00:00"/>
    <s v="TRANSF. MACRONLINE E-SET D/T"/>
    <m/>
    <n v="30000"/>
    <n v="0"/>
    <n v="-30000"/>
    <n v="1036741.19"/>
    <n v="1170"/>
    <n v="25.641025641025642"/>
    <n v="0"/>
    <s v="ARS"/>
    <s v="CC"/>
    <s v="MACRO"/>
    <x v="1"/>
    <x v="2"/>
    <x v="2"/>
    <m/>
    <s v="CLAUDIA ERRECALDE"/>
    <m/>
    <x v="15"/>
    <s v="CLAUDIA"/>
    <s v="24/25"/>
    <s v="FUTURAS UT. ADL CLAUDIA"/>
    <s v="EFECTIVO Y OTROS ACT LÍQ EQ."/>
  </r>
  <r>
    <x v="4"/>
    <d v="2025-05-23T00:00:00"/>
    <s v="TEF DATANET PR ACEITERA GENERAL 30502874353"/>
    <m/>
    <n v="0"/>
    <n v="246.37"/>
    <n v="246.37"/>
    <n v="5066862.1900000004"/>
    <n v="1170"/>
    <n v="0"/>
    <n v="0.21057264957264957"/>
    <s v="ARS"/>
    <s v="CC"/>
    <s v="MACRO"/>
    <x v="2"/>
    <x v="4"/>
    <x v="5"/>
    <s v="VENTA"/>
    <s v="AGD"/>
    <m/>
    <x v="14"/>
    <m/>
    <s v="24/25"/>
    <s v="EFECTIVO Y OTROS ACT LÍQ EQ."/>
    <s v="INGRESOS"/>
  </r>
  <r>
    <x v="4"/>
    <d v="2025-05-23T00:00:00"/>
    <s v="TRANSF. MACRONLINE E-SET M/T"/>
    <m/>
    <n v="4000000"/>
    <n v="0"/>
    <n v="-4000000"/>
    <n v="1066862.19"/>
    <n v="1170"/>
    <n v="3418.8034188034189"/>
    <n v="0"/>
    <s v="ARS"/>
    <s v="CC"/>
    <s v="MACRO"/>
    <x v="0"/>
    <x v="0"/>
    <x v="0"/>
    <s v="HACIA EL PAMPA"/>
    <m/>
    <m/>
    <x v="0"/>
    <m/>
    <m/>
    <m/>
    <m/>
  </r>
  <r>
    <x v="4"/>
    <d v="2025-05-23T00:00:00"/>
    <s v="COMISION TRF. MACROL E-SET"/>
    <m/>
    <n v="121"/>
    <n v="0"/>
    <n v="-121"/>
    <n v="1066741.19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23T00:00:00"/>
    <s v="DBCR 25413 S/CR TASA GRAL"/>
    <m/>
    <n v="1.48"/>
    <n v="0"/>
    <n v="-1.48"/>
    <n v="1036739.71"/>
    <n v="1170"/>
    <n v="1.264957264957265E-3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4"/>
    <d v="2025-05-23T00:00:00"/>
    <s v="DBCR 25413 S/CR TASA GRAL"/>
    <m/>
    <n v="466.14"/>
    <n v="0"/>
    <n v="-466.14"/>
    <n v="1036273.57"/>
    <n v="1170"/>
    <n v="0.3984102564102564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4"/>
    <d v="2025-05-26T00:00:00"/>
    <s v="CHEQUE P/CAMARA"/>
    <s v="N53810369"/>
    <n v="667548.46"/>
    <n v="0"/>
    <n v="-667548.46"/>
    <n v="368725.11"/>
    <n v="1170"/>
    <n v="570.55423931623932"/>
    <n v="0"/>
    <s v="ARS"/>
    <s v="CC"/>
    <s v="MACRO"/>
    <x v="5"/>
    <x v="13"/>
    <x v="36"/>
    <s v="HACIENDA"/>
    <s v="TODO CAMPO COMB"/>
    <s v="FA 8133"/>
    <x v="6"/>
    <m/>
    <s v="24/25"/>
    <s v="BIENES Y SERVICIOS"/>
    <s v="EFECTIVO Y OTROS ACT LÍQ EQ."/>
  </r>
  <r>
    <x v="4"/>
    <d v="2025-05-26T00:00:00"/>
    <s v="CHEQUE P/CAMARA"/>
    <s v="N53810370"/>
    <n v="1000000"/>
    <n v="0"/>
    <n v="-1000000"/>
    <n v="-631274.89"/>
    <n v="1170"/>
    <n v="854.70085470085473"/>
    <n v="0"/>
    <s v="ARS"/>
    <s v="CC"/>
    <s v="MACRO"/>
    <x v="5"/>
    <x v="13"/>
    <x v="36"/>
    <s v="HACIENDA"/>
    <s v="TODO CAMPO COMB"/>
    <s v="FA 8266"/>
    <x v="6"/>
    <m/>
    <s v="24/25"/>
    <s v="BIENES Y SERVICIOS"/>
    <s v="EFECTIVO Y OTROS ACT LÍQ EQ."/>
  </r>
  <r>
    <x v="4"/>
    <d v="2025-05-26T00:00:00"/>
    <s v="TRANSF. MACRONLINE E-SET D/T"/>
    <m/>
    <n v="1500000"/>
    <n v="0"/>
    <n v="-1500000"/>
    <n v="-3231274.89"/>
    <n v="1170"/>
    <n v="1282.051282051282"/>
    <n v="0"/>
    <s v="ARS"/>
    <s v="CC"/>
    <s v="MACRO"/>
    <x v="1"/>
    <x v="11"/>
    <x v="54"/>
    <s v="PERIODO JUNIO"/>
    <s v="BECERRA ADRIAN"/>
    <m/>
    <x v="10"/>
    <m/>
    <s v="24/25"/>
    <s v="DEUDAS FINANCIERAS CP"/>
    <s v="EFECTIVO Y OTROS ACT LÍQ EQ."/>
  </r>
  <r>
    <x v="4"/>
    <d v="2025-05-26T00:00:00"/>
    <s v="TRANSF. MACRONLINE E-SET D/T"/>
    <m/>
    <n v="100000"/>
    <n v="0"/>
    <n v="-100000"/>
    <m/>
    <n v="1170"/>
    <n v="85.470085470085465"/>
    <n v="0"/>
    <s v="ARS"/>
    <s v="CC"/>
    <s v="MACRO"/>
    <x v="1"/>
    <x v="3"/>
    <x v="13"/>
    <m/>
    <s v="MARTIN TOLEDO"/>
    <m/>
    <x v="3"/>
    <m/>
    <s v="24/25"/>
    <s v="EGRESOS"/>
    <s v="EFECTIVO Y OTROS ACT LÍQ EQ."/>
  </r>
  <r>
    <x v="4"/>
    <d v="2025-05-26T00:00:00"/>
    <s v="TRANSF. MACRONLINE E-SET D/T"/>
    <m/>
    <n v="1000000"/>
    <n v="0"/>
    <n v="-1000000"/>
    <m/>
    <n v="1170"/>
    <n v="854.70085470085473"/>
    <n v="0"/>
    <s v="ARS"/>
    <s v="CC"/>
    <s v="MACRO"/>
    <x v="1"/>
    <x v="2"/>
    <x v="2"/>
    <s v="PARTE DE LOS 2,6M"/>
    <s v="RAUL"/>
    <m/>
    <x v="2"/>
    <s v="RAUL"/>
    <s v="24/25"/>
    <s v="FUTURAS UT. ADL RAUL"/>
    <s v="EFECTIVO Y OTROS ACT LÍQ EQ."/>
  </r>
  <r>
    <x v="4"/>
    <d v="2025-05-26T00:00:00"/>
    <s v="COMISION TRF. MACROL E-SET"/>
    <m/>
    <n v="121"/>
    <n v="0"/>
    <n v="-121"/>
    <n v="-3231395.89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26T00:00:00"/>
    <s v="DBCR 25413 S/CR TASA GRAL"/>
    <m/>
    <n v="25606.02"/>
    <n v="0"/>
    <n v="-25606.02"/>
    <n v="-3257001.91"/>
    <n v="1170"/>
    <n v="21.885487179487178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4"/>
    <d v="2025-05-27T00:00:00"/>
    <s v="CHEQUE P/CAMARA"/>
    <s v="N57572267"/>
    <n v="100000"/>
    <n v="0"/>
    <n v="-100000"/>
    <n v="-3357001.91"/>
    <n v="1170"/>
    <n v="85.470085470085465"/>
    <n v="0"/>
    <s v="ARS"/>
    <s v="CC"/>
    <s v="MACRO"/>
    <x v="1"/>
    <x v="11"/>
    <x v="26"/>
    <s v="AMETSEN"/>
    <s v="SANTIAGO ERRECALDE"/>
    <m/>
    <x v="10"/>
    <m/>
    <s v="24/25"/>
    <s v="ACREEDORES CORTO PLAZO"/>
    <s v="EFECTIVO Y OTROS ACT LÍQ EQ."/>
  </r>
  <r>
    <x v="4"/>
    <d v="2025-05-27T00:00:00"/>
    <s v="TRANSF. MACRONLINE E-SET D/T"/>
    <m/>
    <n v="350000"/>
    <n v="0"/>
    <n v="-350000"/>
    <n v="-3707001.91"/>
    <n v="1170"/>
    <n v="299.14529914529913"/>
    <n v="0"/>
    <s v="ARS"/>
    <s v="CC"/>
    <s v="MACRO"/>
    <x v="1"/>
    <x v="2"/>
    <x v="2"/>
    <m/>
    <s v="RAUL"/>
    <m/>
    <x v="2"/>
    <s v="RAUL"/>
    <s v="24/25"/>
    <s v="FUTURAS UT. ADL RAUL"/>
    <s v="EFECTIVO Y OTROS ACT LÍQ EQ."/>
  </r>
  <r>
    <x v="4"/>
    <d v="2025-05-27T00:00:00"/>
    <s v="COMISION TRF. MACROL E-SET"/>
    <m/>
    <n v="121"/>
    <n v="0"/>
    <n v="-121"/>
    <n v="-3707122.91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27T00:00:00"/>
    <s v="DEBITO FISCAL IVA BASICO"/>
    <m/>
    <n v="2440.1999999999998"/>
    <n v="0"/>
    <n v="-2440.1999999999998"/>
    <n v="-3709563.11"/>
    <n v="1170"/>
    <n v="2.0856410256410256"/>
    <n v="0"/>
    <s v="ARS"/>
    <s v="CC"/>
    <s v="MACRO"/>
    <x v="1"/>
    <x v="1"/>
    <x v="1"/>
    <s v="DEBITO IVA FISCAL"/>
    <m/>
    <m/>
    <x v="1"/>
    <m/>
    <s v="24/25"/>
    <s v="EGRESOS"/>
    <s v="EFECTIVO Y OTROS ACT LÍQ EQ."/>
  </r>
  <r>
    <x v="4"/>
    <d v="2025-05-27T00:00:00"/>
    <s v="DEBITO FISCAL IVA PERCEPCION"/>
    <m/>
    <n v="348.6"/>
    <n v="0"/>
    <n v="-348.6"/>
    <n v="-3709911.71"/>
    <n v="1170"/>
    <n v="0.29794871794871797"/>
    <n v="0"/>
    <s v="ARS"/>
    <s v="CC"/>
    <s v="MACRO"/>
    <x v="1"/>
    <x v="1"/>
    <x v="1"/>
    <s v="IVA PERCEPCION"/>
    <m/>
    <m/>
    <x v="1"/>
    <m/>
    <s v="24/25"/>
    <s v="EGRESOS"/>
    <s v="EFECTIVO Y OTROS ACT LÍQ EQ."/>
  </r>
  <r>
    <x v="4"/>
    <d v="2025-05-27T00:00:00"/>
    <s v="COMISION CHQ PAG CLEARING"/>
    <m/>
    <n v="11620"/>
    <n v="0"/>
    <n v="-11620"/>
    <n v="-3721531.71"/>
    <n v="1170"/>
    <n v="9.9316239316239319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27T00:00:00"/>
    <s v="DBCR 25413 S/CR TASA GRAL"/>
    <m/>
    <n v="2787.18"/>
    <n v="0"/>
    <n v="-2787.18"/>
    <n v="-3724318.89"/>
    <n v="1170"/>
    <n v="2.3822051282051282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4"/>
    <d v="2025-05-28T00:00:00"/>
    <s v="CHEQUE P/CAMARA"/>
    <s v="N57612038"/>
    <n v="179907.08"/>
    <n v="0"/>
    <n v="-179907.08"/>
    <n v="-3904225.97"/>
    <n v="1170"/>
    <n v="153.76673504273504"/>
    <n v="0"/>
    <s v="ARS"/>
    <s v="CC"/>
    <s v="MACRO"/>
    <x v="3"/>
    <x v="14"/>
    <x v="35"/>
    <m/>
    <s v="AGRICOLA CENTENO"/>
    <s v="FA 080"/>
    <x v="6"/>
    <m/>
    <s v="24/25"/>
    <s v="BIENES Y SERVICIOS"/>
    <s v="EFECTIVO Y OTROS ACT LÍQ EQ."/>
  </r>
  <r>
    <x v="4"/>
    <d v="2025-05-28T00:00:00"/>
    <s v="TRANSF. MACRONLINE E-SET M/T"/>
    <m/>
    <n v="2750000"/>
    <n v="0"/>
    <n v="-2750000"/>
    <n v="-6654225.9699999997"/>
    <n v="1170"/>
    <n v="2350.4273504273506"/>
    <n v="0"/>
    <s v="ARS"/>
    <s v="CC"/>
    <s v="MACRO"/>
    <x v="0"/>
    <x v="0"/>
    <x v="0"/>
    <s v="HACIA CC GALICIA"/>
    <m/>
    <m/>
    <x v="0"/>
    <m/>
    <m/>
    <m/>
    <m/>
  </r>
  <r>
    <x v="4"/>
    <d v="2025-05-28T00:00:00"/>
    <s v="COMISION TRF. MACROL E-SET"/>
    <m/>
    <n v="121"/>
    <n v="0"/>
    <n v="-121"/>
    <n v="-6654346.9699999997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28T00:00:00"/>
    <s v="TRANSF. MACRONLINE E-SET D/T"/>
    <m/>
    <n v="858500"/>
    <n v="0"/>
    <n v="-858500"/>
    <n v="-7512846.9699999997"/>
    <n v="1170"/>
    <n v="733.76068376068372"/>
    <n v="0"/>
    <s v="ARS"/>
    <s v="CC"/>
    <s v="MACRO"/>
    <x v="1"/>
    <x v="11"/>
    <x v="26"/>
    <s v="A ALIBERTI"/>
    <s v="SANTIAGO ERRECALDE"/>
    <m/>
    <x v="10"/>
    <m/>
    <s v="24/25"/>
    <s v="ACREEDORES CORTO PLAZO"/>
    <s v="EFECTIVO Y OTROS ACT LÍQ EQ."/>
  </r>
  <r>
    <x v="4"/>
    <d v="2025-05-28T00:00:00"/>
    <s v="COMISION TRF. MACROL E-SET"/>
    <m/>
    <n v="121"/>
    <n v="0"/>
    <n v="-121"/>
    <n v="-7512967.9699999997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28T00:00:00"/>
    <s v="DBCR 25413 S/CR TASA GRAL"/>
    <m/>
    <n v="6231.9"/>
    <n v="0"/>
    <n v="-6231.9"/>
    <n v="-7519199.8700000001"/>
    <n v="1170"/>
    <n v="5.3264102564102558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4"/>
    <d v="2025-05-29T00:00:00"/>
    <s v="CHEQUE P/CAMARA"/>
    <s v="N53810361"/>
    <n v="879500"/>
    <n v="0"/>
    <n v="-879500"/>
    <n v="-8398699.8699999992"/>
    <n v="1170"/>
    <n v="751.70940170940173"/>
    <n v="0"/>
    <s v="ARS"/>
    <s v="CC"/>
    <s v="MACRO"/>
    <x v="3"/>
    <x v="5"/>
    <x v="30"/>
    <m/>
    <s v="MERLO"/>
    <m/>
    <x v="6"/>
    <m/>
    <s v="24/25"/>
    <s v="BIENES Y SERVICIOS"/>
    <s v="EFECTIVO Y OTROS ACT LÍQ EQ."/>
  </r>
  <r>
    <x v="4"/>
    <d v="2025-05-29T00:00:00"/>
    <s v="TRANSF. MACRONLINE E-SET D/T"/>
    <m/>
    <n v="500000"/>
    <n v="0"/>
    <n v="-500000"/>
    <n v="-8898699.8699999992"/>
    <n v="1170"/>
    <n v="427.35042735042737"/>
    <n v="0"/>
    <s v="ARS"/>
    <s v="CC"/>
    <s v="MACRO"/>
    <x v="2"/>
    <x v="4"/>
    <x v="5"/>
    <s v="COSECHA 114 HAS"/>
    <s v="LUCARELLI AGUSTIN"/>
    <m/>
    <x v="6"/>
    <m/>
    <s v="24/25"/>
    <s v="BIENES Y SERVICIOS"/>
    <s v="EFECTIVO Y OTROS ACT LÍQ EQ."/>
  </r>
  <r>
    <x v="4"/>
    <d v="2025-05-29T00:00:00"/>
    <s v="COMISION TRF. MACROL E-SET"/>
    <m/>
    <n v="121"/>
    <n v="0"/>
    <n v="-121"/>
    <n v="-8898820.8699999992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29T00:00:00"/>
    <s v="DBCR 25413 S/CR TASA GRAL"/>
    <m/>
    <n v="8277.73"/>
    <n v="0"/>
    <n v="-8277.73"/>
    <n v="-8907098.5999999996"/>
    <n v="1170"/>
    <n v="7.0749829059829059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4"/>
    <d v="2025-05-29T00:00:00"/>
    <s v="DB TR..AUT.SDO.MISMO TIT."/>
    <m/>
    <n v="57382.239999999998"/>
    <n v="0"/>
    <n v="-57382.239999999998"/>
    <n v="-8964480.8399999999"/>
    <n v="1170"/>
    <n v="49.044649572649568"/>
    <n v="0"/>
    <s v="ARS"/>
    <s v="CC"/>
    <s v="MACRO"/>
    <x v="0"/>
    <x v="0"/>
    <x v="0"/>
    <s v="HACIA CA MACRO"/>
    <m/>
    <m/>
    <x v="0"/>
    <m/>
    <s v="24/25"/>
    <m/>
    <m/>
  </r>
  <r>
    <x v="4"/>
    <d v="2025-05-30T00:00:00"/>
    <s v="TRANSF. MACRONLINE E-SET M/T"/>
    <m/>
    <n v="500000"/>
    <n v="0"/>
    <n v="-500000"/>
    <n v="-9464480.8399999999"/>
    <n v="1170"/>
    <n v="427.35042735042737"/>
    <n v="0"/>
    <s v="ARS"/>
    <s v="CC"/>
    <s v="MACRO"/>
    <x v="0"/>
    <x v="0"/>
    <x v="0"/>
    <s v="HACIA CC GALICIA"/>
    <m/>
    <m/>
    <x v="0"/>
    <m/>
    <m/>
    <m/>
    <m/>
  </r>
  <r>
    <x v="4"/>
    <d v="2025-05-30T00:00:00"/>
    <s v="COMISION TRF. MACROL E-SET"/>
    <m/>
    <n v="121"/>
    <n v="0"/>
    <n v="-121"/>
    <n v="-9464601.8399999999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4"/>
    <d v="2025-05-30T00:00:00"/>
    <s v="DBCR 25413 S/CR TASA GRAL"/>
    <m/>
    <n v="0.73"/>
    <n v="0"/>
    <n v="-0.73"/>
    <n v="-9464602.5700000003"/>
    <n v="1170"/>
    <n v="6.2393162393162391E-4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5"/>
    <d v="2025-06-02T00:00:00"/>
    <s v="DEBITO FISCAL IVA BASICO"/>
    <m/>
    <n v="11471.36"/>
    <n v="0"/>
    <n v="-11471.36"/>
    <n v="-9476073.9299999997"/>
    <n v="1170"/>
    <n v="9.8045811965811964"/>
    <n v="0"/>
    <s v="ARS"/>
    <s v="CC"/>
    <s v="MACRO"/>
    <x v="1"/>
    <x v="1"/>
    <x v="1"/>
    <s v="DEBITO IVA FISCAL"/>
    <m/>
    <m/>
    <x v="1"/>
    <m/>
    <s v="24/25"/>
    <s v="EGRESOS"/>
    <s v="EFECTIVO Y OTROS ACT LÍQ EQ."/>
  </r>
  <r>
    <x v="5"/>
    <d v="2025-06-02T00:00:00"/>
    <s v="DEBITO FISCAL IVA PERCEPCION"/>
    <m/>
    <n v="1638.77"/>
    <n v="0"/>
    <n v="-1638.77"/>
    <n v="-9477712.6999999993"/>
    <n v="1170"/>
    <n v="1.4006581196581196"/>
    <n v="0"/>
    <s v="ARS"/>
    <s v="CC"/>
    <s v="MACRO"/>
    <x v="1"/>
    <x v="1"/>
    <x v="1"/>
    <s v="IVA PERCEPCION"/>
    <m/>
    <m/>
    <x v="1"/>
    <m/>
    <s v="24/25"/>
    <s v="EGRESOS"/>
    <s v="EFECTIVO Y OTROS ACT LÍQ EQ."/>
  </r>
  <r>
    <x v="5"/>
    <d v="2025-06-02T00:00:00"/>
    <s v="INTER.ADEL.CC C/ACUERD"/>
    <m/>
    <n v="109251.09"/>
    <n v="0"/>
    <n v="-109251.09"/>
    <n v="-9586963.7899999991"/>
    <n v="1170"/>
    <n v="93.376999999999995"/>
    <n v="0"/>
    <s v="ARS"/>
    <s v="CC"/>
    <s v="MACRO"/>
    <x v="1"/>
    <x v="6"/>
    <x v="8"/>
    <m/>
    <m/>
    <m/>
    <x v="1"/>
    <m/>
    <s v="24/25"/>
    <s v="EGRESOS"/>
    <s v="EFECTIVO Y OTROS ACT LÍQ EQ."/>
  </r>
  <r>
    <x v="5"/>
    <d v="2025-06-02T00:00:00"/>
    <s v="DEBITO FISCAL IVA BASICO"/>
    <m/>
    <n v="27553.06"/>
    <n v="0"/>
    <n v="-27553.06"/>
    <n v="-9614516.8499999996"/>
    <n v="1170"/>
    <n v="23.549623931623934"/>
    <n v="0"/>
    <s v="ARS"/>
    <s v="CC"/>
    <s v="MACRO"/>
    <x v="1"/>
    <x v="1"/>
    <x v="1"/>
    <s v="DEBITO IVA FISCAL"/>
    <m/>
    <m/>
    <x v="1"/>
    <m/>
    <s v="24/25"/>
    <s v="EGRESOS"/>
    <s v="EFECTIVO Y OTROS ACT LÍQ EQ."/>
  </r>
  <r>
    <x v="5"/>
    <d v="2025-06-02T00:00:00"/>
    <s v="DEBITO FISCAL IVA PERCEPCION"/>
    <m/>
    <n v="3936.15"/>
    <n v="0"/>
    <n v="-3936.15"/>
    <n v="-9618453"/>
    <n v="1170"/>
    <n v="3.3642307692307694"/>
    <n v="0"/>
    <s v="ARS"/>
    <s v="CC"/>
    <s v="MACRO"/>
    <x v="1"/>
    <x v="1"/>
    <x v="1"/>
    <s v="IVA PERCEPCION"/>
    <m/>
    <m/>
    <x v="1"/>
    <m/>
    <s v="24/25"/>
    <s v="EGRESOS"/>
    <s v="EFECTIVO Y OTROS ACT LÍQ EQ."/>
  </r>
  <r>
    <x v="5"/>
    <d v="2025-06-02T00:00:00"/>
    <s v="INTER.ADEL.CC C/ACUERD"/>
    <m/>
    <n v="262410.11"/>
    <n v="0"/>
    <n v="-262410.11"/>
    <n v="-9880863.1099999994"/>
    <n v="1170"/>
    <n v="224.2821452991453"/>
    <n v="0"/>
    <s v="ARS"/>
    <s v="CC"/>
    <s v="MACRO"/>
    <x v="1"/>
    <x v="6"/>
    <x v="8"/>
    <m/>
    <m/>
    <m/>
    <x v="1"/>
    <m/>
    <s v="24/25"/>
    <s v="EGRESOS"/>
    <s v="EFECTIVO Y OTROS ACT LÍQ EQ."/>
  </r>
  <r>
    <x v="5"/>
    <d v="2025-06-02T00:00:00"/>
    <s v="DEBITO FISCAL IVA BASICO"/>
    <m/>
    <n v="2796.91"/>
    <n v="0"/>
    <n v="-2796.91"/>
    <n v="-9883660.0199999996"/>
    <n v="1170"/>
    <n v="2.3905213675213672"/>
    <n v="0"/>
    <s v="ARS"/>
    <s v="CC"/>
    <s v="MACRO"/>
    <x v="1"/>
    <x v="1"/>
    <x v="1"/>
    <s v="DEBITO IVA FISCAL"/>
    <m/>
    <m/>
    <x v="1"/>
    <m/>
    <s v="24/25"/>
    <s v="EGRESOS"/>
    <s v="EFECTIVO Y OTROS ACT LÍQ EQ."/>
  </r>
  <r>
    <x v="5"/>
    <d v="2025-06-02T00:00:00"/>
    <s v="DEBITO FISCAL IVA PERCEPCION"/>
    <m/>
    <n v="399.56"/>
    <n v="0"/>
    <n v="-399.56"/>
    <n v="-9884059.5800000001"/>
    <n v="1170"/>
    <n v="0.34150427350427348"/>
    <n v="0"/>
    <s v="ARS"/>
    <s v="CC"/>
    <s v="MACRO"/>
    <x v="1"/>
    <x v="1"/>
    <x v="1"/>
    <s v="IVA PERCEPCION"/>
    <m/>
    <m/>
    <x v="1"/>
    <m/>
    <s v="24/25"/>
    <s v="EGRESOS"/>
    <s v="EFECTIVO Y OTROS ACT LÍQ EQ."/>
  </r>
  <r>
    <x v="5"/>
    <d v="2025-06-02T00:00:00"/>
    <s v="INTER.ADEL.CC S/ACUERD"/>
    <m/>
    <n v="26637.27"/>
    <n v="0"/>
    <n v="-26637.27"/>
    <n v="-9910696.8499999996"/>
    <n v="1170"/>
    <n v="22.766897435897437"/>
    <n v="0"/>
    <s v="ARS"/>
    <s v="CC"/>
    <s v="MACRO"/>
    <x v="1"/>
    <x v="6"/>
    <x v="8"/>
    <m/>
    <m/>
    <m/>
    <x v="1"/>
    <m/>
    <s v="24/25"/>
    <s v="EGRESOS"/>
    <s v="EFECTIVO Y OTROS ACT LÍQ EQ."/>
  </r>
  <r>
    <x v="5"/>
    <d v="2025-06-02T00:00:00"/>
    <s v="DGR SELLOS CORDOBA"/>
    <m/>
    <n v="3000.27"/>
    <n v="0"/>
    <n v="-3000.27"/>
    <n v="-9913697.1199999992"/>
    <n v="1170"/>
    <n v="2.5643333333333334"/>
    <n v="0"/>
    <s v="ARS"/>
    <s v="CC"/>
    <s v="MACRO"/>
    <x v="1"/>
    <x v="1"/>
    <x v="1"/>
    <s v="SELLOS"/>
    <m/>
    <m/>
    <x v="1"/>
    <m/>
    <s v="24/25"/>
    <s v="EGRESOS"/>
    <s v="EFECTIVO Y OTROS ACT LÍQ EQ."/>
  </r>
  <r>
    <x v="5"/>
    <d v="2025-06-02T00:00:00"/>
    <s v="DGR SELLOS CORDOBA"/>
    <m/>
    <n v="6840.51"/>
    <n v="0"/>
    <n v="-6840.51"/>
    <n v="-9920537.6300000008"/>
    <n v="1170"/>
    <n v="5.8465897435897434"/>
    <n v="0"/>
    <s v="ARS"/>
    <s v="CC"/>
    <s v="MACRO"/>
    <x v="1"/>
    <x v="1"/>
    <x v="1"/>
    <s v="SELLOS"/>
    <m/>
    <m/>
    <x v="1"/>
    <m/>
    <s v="24/25"/>
    <s v="EGRESOS"/>
    <s v="EFECTIVO Y OTROS ACT LÍQ EQ."/>
  </r>
  <r>
    <x v="5"/>
    <d v="2025-06-02T00:00:00"/>
    <s v="DGR SELLOS CORDOBA"/>
    <m/>
    <n v="551.64"/>
    <n v="0"/>
    <n v="-551.64"/>
    <n v="-9921089.2699999996"/>
    <n v="1170"/>
    <n v="0.4714871794871795"/>
    <n v="0"/>
    <s v="ARS"/>
    <s v="CC"/>
    <s v="MACRO"/>
    <x v="1"/>
    <x v="1"/>
    <x v="1"/>
    <s v="SELLOS"/>
    <m/>
    <m/>
    <x v="1"/>
    <m/>
    <s v="24/25"/>
    <s v="EGRESOS"/>
    <s v="EFECTIVO Y OTROS ACT LÍQ EQ."/>
  </r>
  <r>
    <x v="5"/>
    <d v="2025-06-02T00:00:00"/>
    <s v="DBCR 25413 S/CR TASA GRAL"/>
    <m/>
    <n v="2738.92"/>
    <n v="0"/>
    <n v="-2738.92"/>
    <n v="-9923828.1899999995"/>
    <n v="1170"/>
    <n v="2.340957264957265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5"/>
    <d v="2025-06-03T00:00:00"/>
    <s v="TRANSF. MACRONLINE E-SET M/T"/>
    <m/>
    <n v="850000"/>
    <n v="0"/>
    <n v="-850000"/>
    <n v="-10773828.189999999"/>
    <n v="1170"/>
    <n v="726.49572649572644"/>
    <n v="0"/>
    <s v="ARS"/>
    <s v="CC"/>
    <s v="MACRO"/>
    <x v="0"/>
    <x v="0"/>
    <x v="0"/>
    <s v="HACIA CC GALICIA"/>
    <m/>
    <m/>
    <x v="0"/>
    <m/>
    <m/>
    <m/>
    <m/>
  </r>
  <r>
    <x v="5"/>
    <d v="2025-06-03T00:00:00"/>
    <s v="COMISION TRF. MACROL E-SET"/>
    <m/>
    <n v="121"/>
    <n v="0"/>
    <n v="-121"/>
    <n v="-10773949.189999999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5"/>
    <d v="2025-06-03T00:00:00"/>
    <s v="DBCR 25413 S/CR TASA GRAL"/>
    <m/>
    <n v="0.73"/>
    <n v="0"/>
    <n v="-0.73"/>
    <n v="-10773949.92"/>
    <n v="1170"/>
    <n v="6.2393162393162391E-4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5"/>
    <d v="2025-06-04T00:00:00"/>
    <s v="TRANSF. MACRONLINE E-SET M/T"/>
    <m/>
    <n v="150000"/>
    <n v="0"/>
    <n v="-150000"/>
    <n v="-10923949.92"/>
    <n v="1170"/>
    <n v="128.2051282051282"/>
    <n v="0"/>
    <s v="ARS"/>
    <s v="CC"/>
    <s v="MACRO"/>
    <x v="0"/>
    <x v="0"/>
    <x v="0"/>
    <s v="HACIA CC GALICIA"/>
    <m/>
    <m/>
    <x v="0"/>
    <m/>
    <m/>
    <m/>
    <m/>
  </r>
  <r>
    <x v="5"/>
    <d v="2025-06-06T00:00:00"/>
    <s v="COMISION TRF. MACROL E-SET"/>
    <m/>
    <n v="121"/>
    <n v="0"/>
    <n v="-121"/>
    <n v="-12924191.92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5"/>
    <d v="2025-06-06T00:00:00"/>
    <s v="TRANSF. MACRONLINE E-SET M/T"/>
    <m/>
    <n v="500000"/>
    <n v="0"/>
    <n v="-500000"/>
    <n v="-12924191.92"/>
    <n v="1170"/>
    <n v="427.35042735042737"/>
    <n v="0"/>
    <s v="ARS"/>
    <s v="CC"/>
    <s v="MACRO"/>
    <x v="1"/>
    <x v="2"/>
    <x v="2"/>
    <s v="PARTE JUNIO"/>
    <s v="CLAUDIA ERRECALDE"/>
    <m/>
    <x v="15"/>
    <s v="CLAUDIA"/>
    <s v="24/25"/>
    <s v="FUTURAS UT. ADL CLAUDIA"/>
    <s v="EFECTIVO Y OTROS ACT LÍQ EQ."/>
  </r>
  <r>
    <x v="5"/>
    <d v="2025-06-06T00:00:00"/>
    <s v="COMISION TRF. MACROL E-SET"/>
    <m/>
    <n v="121"/>
    <n v="0"/>
    <n v="-121"/>
    <n v="-12924191.92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5"/>
    <d v="2025-06-06T00:00:00"/>
    <s v="TRANSF. MACRONLINE E-SET M/T"/>
    <m/>
    <n v="1500000"/>
    <n v="0"/>
    <n v="-1500000"/>
    <n v="-12924191.92"/>
    <n v="1170"/>
    <n v="1282.051282051282"/>
    <n v="0"/>
    <s v="ARS"/>
    <s v="CC"/>
    <s v="MACRO"/>
    <x v="1"/>
    <x v="2"/>
    <x v="2"/>
    <s v="HONORARIOS"/>
    <s v="RAUL"/>
    <m/>
    <x v="2"/>
    <s v="RAUL"/>
    <s v="24/25"/>
    <s v="FUTURAS UT. ADL RAUL"/>
    <s v="EFECTIVO Y OTROS ACT LÍQ EQ."/>
  </r>
  <r>
    <x v="5"/>
    <d v="2025-06-06T00:00:00"/>
    <s v="COMISION TRF. MACROL E-SET"/>
    <m/>
    <n v="121"/>
    <n v="0"/>
    <n v="-121"/>
    <n v="-12924191.92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5"/>
    <d v="2025-06-06T00:00:00"/>
    <s v="CCERR MACRO AGRO 30645289826 CIRC.CERRADO"/>
    <m/>
    <n v="0"/>
    <n v="1084629.8999999999"/>
    <n v="1084629.8999999999"/>
    <n v="-11839562.02"/>
    <n v="1170"/>
    <n v="0"/>
    <n v="927.03410256410245"/>
    <s v="ARS"/>
    <s v="CC"/>
    <s v="MACRO"/>
    <x v="0"/>
    <x v="10"/>
    <x v="55"/>
    <s v="120 TN"/>
    <m/>
    <m/>
    <x v="9"/>
    <m/>
    <s v="24/25"/>
    <s v="EFECTIVO Y OTROS ACT LÍQ EQ."/>
    <s v="CREDITO MACRO FW 90tn 3,5%"/>
  </r>
  <r>
    <x v="5"/>
    <d v="2025-06-06T00:00:00"/>
    <s v="CCERR MACRO AGRO 30645289826 CIRC.CERRADO"/>
    <m/>
    <n v="0"/>
    <n v="29529966.800000001"/>
    <n v="29529966.800000001"/>
    <n v="17690404.780000001"/>
    <n v="1170"/>
    <n v="0"/>
    <n v="25239.287863247864"/>
    <s v="ARS"/>
    <s v="CC"/>
    <s v="MACRO"/>
    <x v="0"/>
    <x v="10"/>
    <x v="55"/>
    <s v="120 TN"/>
    <m/>
    <m/>
    <x v="9"/>
    <m/>
    <s v="24/25"/>
    <s v="EFECTIVO Y OTROS ACT LÍQ EQ."/>
    <s v="CREDITO MACRO FW 90tn 3,5%"/>
  </r>
  <r>
    <x v="5"/>
    <d v="2025-06-06T00:00:00"/>
    <s v="DEBITO FISCAL IVA BASICO"/>
    <m/>
    <n v="4620"/>
    <n v="0"/>
    <n v="-4620"/>
    <n v="17685784.780000001"/>
    <n v="1170"/>
    <n v="3.9487179487179489"/>
    <n v="0"/>
    <s v="ARS"/>
    <s v="CC"/>
    <s v="MACRO"/>
    <x v="1"/>
    <x v="1"/>
    <x v="1"/>
    <s v="DEBITO IVA FISCAL"/>
    <m/>
    <m/>
    <x v="1"/>
    <m/>
    <s v="24/25"/>
    <s v="EGRESOS"/>
    <s v="EFECTIVO Y OTROS ACT LÍQ EQ."/>
  </r>
  <r>
    <x v="5"/>
    <d v="2025-06-06T00:00:00"/>
    <s v="DEBITO FISCAL IVA PERCEPCION"/>
    <m/>
    <n v="660"/>
    <n v="0"/>
    <n v="-660"/>
    <n v="17685124.780000001"/>
    <n v="1170"/>
    <n v="0.5641025641025641"/>
    <n v="0"/>
    <s v="ARS"/>
    <s v="CC"/>
    <s v="MACRO"/>
    <x v="1"/>
    <x v="1"/>
    <x v="1"/>
    <s v="IVA PERCEPCION"/>
    <m/>
    <m/>
    <x v="1"/>
    <m/>
    <s v="24/25"/>
    <s v="EGRESOS"/>
    <s v="EFECTIVO Y OTROS ACT LÍQ EQ."/>
  </r>
  <r>
    <x v="5"/>
    <d v="2025-06-06T00:00:00"/>
    <s v="COM. SERV DESC NO AUTORIZ."/>
    <m/>
    <n v="22000"/>
    <n v="0"/>
    <n v="-22000"/>
    <n v="17663124.780000001"/>
    <n v="1170"/>
    <n v="18.803418803418804"/>
    <n v="0"/>
    <s v="ARS"/>
    <s v="CC"/>
    <s v="MACRO"/>
    <x v="1"/>
    <x v="7"/>
    <x v="9"/>
    <m/>
    <m/>
    <m/>
    <x v="1"/>
    <m/>
    <s v="24/25"/>
    <s v="EGRESOS"/>
    <s v="EFECTIVO Y OTROS ACT LÍQ EQ."/>
  </r>
  <r>
    <x v="5"/>
    <d v="2025-06-06T00:00:00"/>
    <s v="DBCR 25413 S/CR TASA GRAL"/>
    <m/>
    <n v="183687.58"/>
    <n v="0"/>
    <n v="-183687.58"/>
    <n v="17479437.199999999"/>
    <n v="1170"/>
    <n v="156.99793162393161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5"/>
    <d v="2025-06-06T00:00:00"/>
    <s v="DBCR 25413 S/CR TASA GRAL"/>
    <m/>
    <n v="12165.14"/>
    <n v="0"/>
    <n v="-12165.14"/>
    <n v="17467272.059999999"/>
    <n v="1170"/>
    <n v="10.397555555555556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5"/>
    <d v="2025-06-09T00:00:00"/>
    <s v="TEF DATANET PR UNICER SAS 30715839888"/>
    <m/>
    <n v="0"/>
    <n v="696888.2"/>
    <n v="696888.2"/>
    <n v="18164160.260000002"/>
    <n v="1170"/>
    <n v="0"/>
    <n v="595.63094017094011"/>
    <s v="ARS"/>
    <s v="CC"/>
    <s v="MACRO"/>
    <x v="2"/>
    <x v="4"/>
    <x v="5"/>
    <s v="IVA RG 2300/2007"/>
    <s v="LEIVA HNOS"/>
    <m/>
    <x v="14"/>
    <m/>
    <s v="24/25"/>
    <s v="EFECTIVO Y OTROS ACT LÍQ EQ."/>
    <s v="INGRESOS"/>
  </r>
  <r>
    <x v="5"/>
    <d v="2025-06-09T00:00:00"/>
    <s v="TEF DATANET PR ACEITERA GENERAL 30502874353"/>
    <m/>
    <n v="0"/>
    <n v="1258168.71"/>
    <n v="1258168.71"/>
    <n v="19422328.969999999"/>
    <n v="1170"/>
    <n v="0"/>
    <n v="1075.3578717948717"/>
    <s v="ARS"/>
    <s v="CC"/>
    <s v="MACRO"/>
    <x v="2"/>
    <x v="4"/>
    <x v="5"/>
    <s v="IVA RG 2300/2007"/>
    <s v="AGD"/>
    <m/>
    <x v="14"/>
    <m/>
    <s v="24/25"/>
    <s v="EFECTIVO Y OTROS ACT LÍQ EQ."/>
    <s v="INGRESOS"/>
  </r>
  <r>
    <x v="5"/>
    <d v="2025-06-09T00:00:00"/>
    <s v="DBCR 25413 S/CR TASA GRAL"/>
    <m/>
    <n v="11730.34"/>
    <n v="0"/>
    <n v="-11730.34"/>
    <n v="19410598.629999999"/>
    <n v="1170"/>
    <n v="10.025931623931625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5"/>
    <d v="2025-06-10T00:00:00"/>
    <s v="TRANSF. MACRONLINE E-SET M/T"/>
    <m/>
    <n v="1500000"/>
    <n v="0"/>
    <n v="-1500000"/>
    <n v="17910598.629999999"/>
    <n v="1170"/>
    <n v="1282.051282051282"/>
    <n v="0"/>
    <s v="ARS"/>
    <s v="CC"/>
    <s v="MACRO"/>
    <x v="0"/>
    <x v="0"/>
    <x v="0"/>
    <s v="HACIA CC GALICIA"/>
    <m/>
    <m/>
    <x v="0"/>
    <m/>
    <m/>
    <m/>
    <m/>
  </r>
  <r>
    <x v="5"/>
    <d v="2025-06-10T00:00:00"/>
    <s v="COMISION TRF. MACROL E-SET"/>
    <m/>
    <n v="121"/>
    <n v="0"/>
    <n v="-121"/>
    <n v="17910477.629999999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5"/>
    <d v="2025-06-10T00:00:00"/>
    <s v="TRANSF. MACRONLINE E-SET D/T"/>
    <m/>
    <n v="1000000"/>
    <n v="0"/>
    <n v="-1000000"/>
    <n v="16910477.629999999"/>
    <n v="1170"/>
    <n v="854.70085470085473"/>
    <n v="0"/>
    <s v="ARS"/>
    <s v="CC"/>
    <s v="MACRO"/>
    <x v="1"/>
    <x v="2"/>
    <x v="2"/>
    <s v="HONORARIOS"/>
    <s v="RAUL"/>
    <m/>
    <x v="2"/>
    <s v="RAUL"/>
    <s v="24/25"/>
    <s v="FUTURAS UT. ADL RAUL"/>
    <s v="EFECTIVO Y OTROS ACT LÍQ EQ."/>
  </r>
  <r>
    <x v="5"/>
    <d v="2025-06-10T00:00:00"/>
    <s v="COMISION TRF. MACROL E-SET"/>
    <m/>
    <n v="121"/>
    <n v="0"/>
    <n v="-121"/>
    <n v="16910356.629999999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5"/>
    <d v="2025-06-10T00:00:00"/>
    <s v="TRANSF. MACRONLINE E-SET D/T"/>
    <m/>
    <n v="480960"/>
    <n v="0"/>
    <n v="-480960"/>
    <n v="16429396.630000001"/>
    <n v="1170"/>
    <n v="411.07692307692309"/>
    <n v="0"/>
    <s v="ARS"/>
    <s v="CC"/>
    <s v="MACRO"/>
    <x v="1"/>
    <x v="3"/>
    <x v="3"/>
    <s v="PERIODO MAYO 25"/>
    <s v="KEVIN TOLEDO"/>
    <m/>
    <x v="3"/>
    <m/>
    <s v="24/25"/>
    <s v="EGRESOS"/>
    <s v="EFECTIVO Y OTROS ACT LÍQ EQ."/>
  </r>
  <r>
    <x v="5"/>
    <d v="2025-06-10T00:00:00"/>
    <s v="COMISION TRF. MACROL E-SET"/>
    <m/>
    <n v="121"/>
    <n v="0"/>
    <n v="-121"/>
    <n v="16429275.630000001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5"/>
    <d v="2025-06-10T00:00:00"/>
    <s v="TRANSF. MACRONLINE E-SET D/T"/>
    <m/>
    <n v="902358"/>
    <n v="0"/>
    <n v="-902358"/>
    <n v="15526917.630000001"/>
    <n v="1170"/>
    <n v="771.2461538461539"/>
    <n v="0"/>
    <s v="ARS"/>
    <s v="CC"/>
    <s v="MACRO"/>
    <x v="1"/>
    <x v="11"/>
    <x v="26"/>
    <s v="PERIODO JUNIO"/>
    <s v="BECERRA ADRIAN"/>
    <m/>
    <x v="10"/>
    <m/>
    <s v="24/25"/>
    <s v="DEUDAS FINANCIERAS CP"/>
    <s v="EFECTIVO Y OTROS ACT LÍQ EQ."/>
  </r>
  <r>
    <x v="5"/>
    <d v="2025-06-10T00:00:00"/>
    <s v="COMISION TRF. MACROL E-SET"/>
    <m/>
    <n v="121"/>
    <n v="0"/>
    <n v="-121"/>
    <n v="15526796.630000001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5"/>
    <d v="2025-06-10T00:00:00"/>
    <s v="TRANSF. MACRONLINE E-SET D/T"/>
    <m/>
    <n v="2000000"/>
    <n v="0"/>
    <n v="-2000000"/>
    <n v="13526796.630000001"/>
    <n v="1170"/>
    <n v="1709.4017094017095"/>
    <n v="0"/>
    <s v="ARS"/>
    <s v="CC"/>
    <s v="MACRO"/>
    <x v="1"/>
    <x v="2"/>
    <x v="23"/>
    <s v="UTILIDADES FUTURAS"/>
    <s v="MONICA ERRECALDE"/>
    <m/>
    <x v="13"/>
    <s v="MONICA"/>
    <s v="24/25"/>
    <s v="FUTURAS UT. ADL MONICA"/>
    <s v="EFECTIVO Y OTROS ACT LÍQ EQ."/>
  </r>
  <r>
    <x v="5"/>
    <d v="2025-06-10T00:00:00"/>
    <s v="COMISION TRF. MACROL E-SET"/>
    <m/>
    <n v="121"/>
    <n v="0"/>
    <n v="-121"/>
    <n v="13526675.630000001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5"/>
    <d v="2025-06-10T00:00:00"/>
    <s v="TRANSF. MACRONLINE E-SET D/T"/>
    <m/>
    <n v="500000"/>
    <n v="0"/>
    <n v="-500000"/>
    <n v="13026675.630000001"/>
    <n v="1170"/>
    <n v="427.35042735042737"/>
    <n v="0"/>
    <s v="ARS"/>
    <s v="CC"/>
    <s v="MACRO"/>
    <x v="1"/>
    <x v="2"/>
    <x v="2"/>
    <s v="HONORARIOS"/>
    <s v="RAUL"/>
    <m/>
    <x v="2"/>
    <s v="RAUL"/>
    <s v="24/25"/>
    <s v="FUTURAS UT. ADL RAUL"/>
    <s v="EFECTIVO Y OTROS ACT LÍQ EQ."/>
  </r>
  <r>
    <x v="5"/>
    <d v="2025-06-10T00:00:00"/>
    <s v="COMISION TRF. MACROL E-SET"/>
    <m/>
    <n v="121"/>
    <n v="0"/>
    <n v="-121"/>
    <n v="13026554.630000001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5"/>
    <d v="2025-06-10T00:00:00"/>
    <s v="TRANSF. MACRONLINE E-SET D/T"/>
    <m/>
    <n v="200000"/>
    <n v="0"/>
    <n v="-200000"/>
    <n v="12826554.630000001"/>
    <n v="1170"/>
    <n v="170.94017094017093"/>
    <n v="0"/>
    <s v="ARS"/>
    <s v="CC"/>
    <s v="MACRO"/>
    <x v="1"/>
    <x v="3"/>
    <x v="3"/>
    <s v="EXTRA SUELDO"/>
    <s v="KEVIN TOLEDO"/>
    <m/>
    <x v="3"/>
    <m/>
    <s v="24/25"/>
    <s v="EGRESOS"/>
    <s v="EFECTIVO Y OTROS ACT LÍQ EQ."/>
  </r>
  <r>
    <x v="5"/>
    <d v="2025-06-10T00:00:00"/>
    <s v="DBCR 25413 S/CR TASA GRAL"/>
    <m/>
    <n v="30504.29"/>
    <n v="0"/>
    <n v="-30504.29"/>
    <n v="12796050.34"/>
    <n v="1170"/>
    <n v="26.072042735042736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5"/>
    <d v="2025-06-11T00:00:00"/>
    <s v="CHEQUE P/CAMARA"/>
    <s v="N53810372"/>
    <n v="991660.66"/>
    <n v="0"/>
    <n v="-991660.66"/>
    <n v="11804389.68"/>
    <n v="1170"/>
    <n v="847.57321367521365"/>
    <n v="0"/>
    <s v="ARS"/>
    <s v="CC"/>
    <s v="MACRO"/>
    <x v="5"/>
    <x v="13"/>
    <x v="36"/>
    <s v="HACIENDA"/>
    <s v="TODO CAMPO COMB"/>
    <s v="FA 8489"/>
    <x v="6"/>
    <m/>
    <s v="24/25"/>
    <s v="BIENES Y SERVICIOS"/>
    <s v="EFECTIVO Y OTROS ACT LÍQ EQ."/>
  </r>
  <r>
    <x v="5"/>
    <d v="2025-06-11T00:00:00"/>
    <s v="COMISION TRF. MACROL E-SET"/>
    <m/>
    <n v="121"/>
    <n v="0"/>
    <n v="-121"/>
    <n v="11304268.68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5"/>
    <d v="2025-06-11T00:00:00"/>
    <s v="LIQ.SUSC 10 000000000324771"/>
    <m/>
    <n v="10000000"/>
    <n v="0"/>
    <n v="-10000000"/>
    <n v="1304268.68"/>
    <n v="1170"/>
    <n v="8547.0085470085469"/>
    <n v="0"/>
    <s v="ARS"/>
    <s v="CC"/>
    <s v="MACRO"/>
    <x v="0"/>
    <x v="23"/>
    <x v="56"/>
    <s v="FCI MONEY MARKET"/>
    <s v="BANCO MACRO"/>
    <m/>
    <x v="22"/>
    <m/>
    <s v="24/25"/>
    <s v="INVERSIONES"/>
    <s v="EFECTIVO Y OTROS ACT LÍQ EQ."/>
  </r>
  <r>
    <x v="5"/>
    <d v="2025-06-11T00:00:00"/>
    <s v="DBCR 25413 S/CR TASA GRAL"/>
    <m/>
    <n v="8950.69"/>
    <n v="0"/>
    <n v="-8950.69"/>
    <n v="1295317.99"/>
    <n v="1170"/>
    <n v="7.6501623931623932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5"/>
    <d v="2025-06-11T00:00:00"/>
    <s v="TRANSF. MACRONLINE E-SET D/T"/>
    <m/>
    <n v="500000"/>
    <n v="0"/>
    <n v="-500000"/>
    <n v="11304389.68"/>
    <n v="1170"/>
    <n v="427.35042735042737"/>
    <n v="0"/>
    <s v="ARS"/>
    <s v="CC"/>
    <s v="MACRO"/>
    <x v="1"/>
    <x v="2"/>
    <x v="2"/>
    <s v="PARTE JUNIO"/>
    <s v="CLAUDIA ERRECALDE"/>
    <m/>
    <x v="15"/>
    <s v="CLAUDIA"/>
    <s v="24/25"/>
    <s v="FUTURAS UT. ADL CLAUDIA"/>
    <s v="EFECTIVO Y OTROS ACT LÍQ EQ."/>
  </r>
  <r>
    <x v="5"/>
    <d v="2025-06-12T00:00:00"/>
    <s v="TEF DATANET PR ACEITERA GENERAL 30502874353"/>
    <m/>
    <n v="0"/>
    <n v="41315677.57"/>
    <n v="41315677.57"/>
    <n v="42610995.560000002"/>
    <n v="1170"/>
    <n v="0"/>
    <n v="35312.544931623932"/>
    <s v="ARS"/>
    <s v="CC"/>
    <s v="MACRO"/>
    <x v="2"/>
    <x v="4"/>
    <x v="5"/>
    <s v="VENTA"/>
    <s v="AGD"/>
    <m/>
    <x v="14"/>
    <m/>
    <s v="24/25"/>
    <s v="EFECTIVO Y OTROS ACT LÍQ EQ."/>
    <s v="INGRESOS"/>
  </r>
  <r>
    <x v="5"/>
    <d v="2025-06-12T00:00:00"/>
    <s v="TRANSF. MACRONLINE E-SET M/T"/>
    <m/>
    <n v="10000000"/>
    <n v="0"/>
    <n v="-10000000"/>
    <n v="32610995.559999999"/>
    <n v="1170"/>
    <n v="8547.0085470085469"/>
    <n v="0"/>
    <s v="ARS"/>
    <s v="CC"/>
    <s v="MACRO"/>
    <x v="0"/>
    <x v="0"/>
    <x v="0"/>
    <s v="SE CUBRE DESCUBIERTO"/>
    <s v="BANCO PAMPA"/>
    <m/>
    <x v="0"/>
    <m/>
    <s v="24/25"/>
    <m/>
    <m/>
  </r>
  <r>
    <x v="5"/>
    <d v="2025-06-12T00:00:00"/>
    <s v="COMISION TRF. MACROL E-SET"/>
    <m/>
    <n v="121"/>
    <n v="0"/>
    <n v="-121"/>
    <n v="32610874.559999999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5"/>
    <d v="2025-06-12T00:00:00"/>
    <s v="TRANSF. MACRONLINE E-SET M/T"/>
    <m/>
    <n v="7020000"/>
    <n v="0"/>
    <n v="-7020000"/>
    <n v="25590874.559999999"/>
    <n v="1170"/>
    <n v="6000"/>
    <n v="0"/>
    <s v="ARS"/>
    <s v="CC"/>
    <s v="MACRO"/>
    <x v="0"/>
    <x v="0"/>
    <x v="0"/>
    <s v="SE CUBRE DESCUBIERTO"/>
    <s v="BANCO GALICIA"/>
    <m/>
    <x v="0"/>
    <m/>
    <s v="24/25"/>
    <m/>
    <m/>
  </r>
  <r>
    <x v="5"/>
    <d v="2025-06-12T00:00:00"/>
    <s v="COMISION TRF. MACROL E-SET"/>
    <m/>
    <n v="121"/>
    <n v="0"/>
    <n v="-121"/>
    <n v="25590753.559999999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5"/>
    <d v="2025-06-12T00:00:00"/>
    <s v="TRANSF. MACRONLINE E-SET M/T"/>
    <m/>
    <n v="3000000"/>
    <n v="0"/>
    <n v="-3000000"/>
    <n v="22590753.559999999"/>
    <n v="1170"/>
    <n v="2564.102564102564"/>
    <n v="0"/>
    <s v="ARS"/>
    <s v="CC"/>
    <s v="MACRO"/>
    <x v="0"/>
    <x v="0"/>
    <x v="0"/>
    <s v="SE CUBRE DESCUBIERTO"/>
    <s v="BANCO NACION"/>
    <m/>
    <x v="0"/>
    <m/>
    <s v="24/25"/>
    <m/>
    <m/>
  </r>
  <r>
    <x v="5"/>
    <d v="2025-06-12T00:00:00"/>
    <s v="COMISION TRF. MACROL E-SET"/>
    <m/>
    <n v="121"/>
    <n v="0"/>
    <n v="-121"/>
    <n v="22590632.559999999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5"/>
    <d v="2025-06-12T00:00:00"/>
    <s v="TRANSF. MACRONLINE E-SET D/T"/>
    <m/>
    <n v="53892"/>
    <n v="0"/>
    <n v="-53892"/>
    <n v="20467669.359999999"/>
    <n v="1170"/>
    <n v="46.061538461538461"/>
    <n v="0"/>
    <s v="ARS"/>
    <s v="CC"/>
    <s v="MACRO"/>
    <x v="5"/>
    <x v="13"/>
    <x v="39"/>
    <s v="HACIENDA"/>
    <s v="SENASA"/>
    <m/>
    <x v="6"/>
    <m/>
    <s v="24/25"/>
    <s v="BIENES Y SERVICIOS"/>
    <s v="EFECTIVO Y OTROS ACT LÍQ EQ."/>
  </r>
  <r>
    <x v="5"/>
    <d v="2025-06-12T00:00:00"/>
    <s v="TRANSF. MACRONLINE E-SET D/T"/>
    <m/>
    <n v="800000"/>
    <n v="0"/>
    <n v="-800000"/>
    <n v="18344706.16"/>
    <n v="1170"/>
    <n v="683.76068376068372"/>
    <n v="0"/>
    <s v="ARS"/>
    <s v="CC"/>
    <s v="MACRO"/>
    <x v="1"/>
    <x v="3"/>
    <x v="3"/>
    <s v="PERIODO MAYO 25"/>
    <s v="ANDRES TOLEDO"/>
    <m/>
    <x v="3"/>
    <m/>
    <s v="24/25"/>
    <s v="EGRESOS"/>
    <s v="EFECTIVO Y OTROS ACT LÍQ EQ."/>
  </r>
  <r>
    <x v="5"/>
    <d v="2025-06-12T00:00:00"/>
    <s v="TRANSF. MACRONLINE E-SET D/T"/>
    <m/>
    <n v="1269170"/>
    <n v="0"/>
    <n v="-1269170"/>
    <n v="16221742.960000001"/>
    <n v="1170"/>
    <n v="1084.7606837606838"/>
    <n v="0"/>
    <s v="ARS"/>
    <s v="CC"/>
    <s v="MACRO"/>
    <x v="1"/>
    <x v="1"/>
    <x v="1"/>
    <s v="CUOTA 5/6"/>
    <s v="RENTAS"/>
    <m/>
    <x v="19"/>
    <m/>
    <s v="24/25"/>
    <s v="EGRESOS"/>
    <s v="EFECTIVO Y OTROS ACT LÍQ EQ."/>
  </r>
  <r>
    <x v="5"/>
    <d v="2025-06-12T00:00:00"/>
    <s v="COMISION TRF. MACROL E-SET"/>
    <m/>
    <n v="121"/>
    <n v="0"/>
    <n v="-121"/>
    <n v="20467548.359999999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5"/>
    <d v="2025-06-12T00:00:00"/>
    <s v="DB.CEXT YCBIOS.GRAV.L25413 SUC.:811"/>
    <m/>
    <n v="24634929.239999998"/>
    <n v="0"/>
    <n v="-24634929.239999998"/>
    <n v="-4167380.88"/>
    <n v="1170"/>
    <n v="21055.495076923075"/>
    <n v="0"/>
    <s v="ARS"/>
    <s v="CC"/>
    <s v="MACRO"/>
    <x v="0"/>
    <x v="10"/>
    <x v="55"/>
    <s v="120 TN"/>
    <m/>
    <m/>
    <x v="9"/>
    <m/>
    <s v="24/25"/>
    <s v="CREDITO MACRO FW 90tn 3,5%"/>
    <s v="EFECTIVO Y OTROS ACT LÍQ EQ."/>
  </r>
  <r>
    <x v="5"/>
    <d v="2025-06-12T00:00:00"/>
    <s v="DBCR 25413 S/CR TASA GRAL"/>
    <m/>
    <n v="247894.07"/>
    <n v="0"/>
    <n v="-247894.07"/>
    <n v="-4415274.95"/>
    <n v="1170"/>
    <n v="211.87527350427351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5"/>
    <d v="2025-06-12T00:00:00"/>
    <s v="DBCR 25413 S/CR TASA GRAL"/>
    <m/>
    <n v="160550.28"/>
    <n v="0"/>
    <n v="-160550.28"/>
    <n v="-4575825.2300000004"/>
    <n v="1170"/>
    <n v="137.22246153846154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5"/>
    <d v="2025-06-13T00:00:00"/>
    <s v="CHEQUE P/CAMARA"/>
    <s v="N57979221"/>
    <n v="1995000"/>
    <n v="0"/>
    <n v="-1995000"/>
    <n v="-6570825.2300000004"/>
    <n v="1170"/>
    <n v="1705.1282051282051"/>
    <n v="0"/>
    <s v="ARS"/>
    <s v="CC"/>
    <s v="MACRO"/>
    <x v="5"/>
    <x v="13"/>
    <x v="36"/>
    <s v="HACIENDA"/>
    <s v="TODO CAMPO COMB"/>
    <s v="FA 8655"/>
    <x v="6"/>
    <m/>
    <s v="24/25"/>
    <s v="BIENES Y SERVICIOS"/>
    <s v="EFECTIVO Y OTROS ACT LÍQ EQ."/>
  </r>
  <r>
    <x v="5"/>
    <d v="2025-06-13T00:00:00"/>
    <s v="10 SOL.RESC 6644683 324771"/>
    <m/>
    <n v="0"/>
    <n v="10014765.58"/>
    <n v="10014765.58"/>
    <n v="3443940.35"/>
    <n v="1170"/>
    <n v="0"/>
    <n v="8559.6287008547006"/>
    <s v="ARS"/>
    <s v="CC"/>
    <s v="MACRO"/>
    <x v="0"/>
    <x v="23"/>
    <x v="57"/>
    <s v="FCI MONEY MARKET"/>
    <s v="BANCO MACRO"/>
    <m/>
    <x v="22"/>
    <m/>
    <s v="24/25"/>
    <s v="EFECTIVO Y OTROS ACT LÍQ EQ."/>
    <s v="INVERSIONES"/>
  </r>
  <r>
    <x v="5"/>
    <d v="2025-06-13T00:00:00"/>
    <s v="TRANSF. MACRONLINE E-SET D/T"/>
    <m/>
    <n v="560000"/>
    <n v="0"/>
    <n v="-560000"/>
    <n v="2883940.35"/>
    <n v="1170"/>
    <n v="478.63247863247864"/>
    <n v="0"/>
    <s v="ARS"/>
    <s v="CC"/>
    <s v="MACRO"/>
    <x v="1"/>
    <x v="11"/>
    <x v="54"/>
    <s v="TRAE EFECTIVO"/>
    <s v="SANTIAGO ERRECALDE"/>
    <m/>
    <x v="10"/>
    <m/>
    <s v="24/25"/>
    <s v="ACREEDORES CORTO PLAZO"/>
    <s v="EFECTIVO Y OTROS ACT LÍQ EQ."/>
  </r>
  <r>
    <x v="5"/>
    <d v="2025-06-13T00:00:00"/>
    <s v="COMISION TRF. MACROL E-SET"/>
    <m/>
    <n v="121"/>
    <n v="0"/>
    <n v="-121"/>
    <n v="2883819.35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5"/>
    <d v="2025-06-13T00:00:00"/>
    <s v="TRANSF. MACRONLINE E-SET M/T"/>
    <m/>
    <n v="2000000"/>
    <n v="0"/>
    <n v="-2000000"/>
    <n v="883819.35"/>
    <n v="1170"/>
    <n v="1709.4017094017095"/>
    <n v="0"/>
    <s v="ARS"/>
    <s v="CC"/>
    <s v="MACRO"/>
    <x v="0"/>
    <x v="0"/>
    <x v="0"/>
    <s v="HACIA GALICIA"/>
    <m/>
    <m/>
    <x v="0"/>
    <m/>
    <s v="24/25"/>
    <m/>
    <m/>
  </r>
  <r>
    <x v="5"/>
    <d v="2025-06-13T00:00:00"/>
    <s v="COMISION TRF. MACROL E-SET"/>
    <m/>
    <n v="121"/>
    <n v="0"/>
    <n v="-121"/>
    <n v="883698.35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5"/>
    <d v="2025-06-13T00:00:00"/>
    <s v="DEBITO FISCAL IVA BASICO"/>
    <m/>
    <n v="3024"/>
    <n v="0"/>
    <n v="-3024"/>
    <n v="880674.35"/>
    <n v="1170"/>
    <n v="2.5846153846153848"/>
    <n v="0"/>
    <s v="ARS"/>
    <s v="CC"/>
    <s v="MACRO"/>
    <x v="1"/>
    <x v="1"/>
    <x v="1"/>
    <s v="DEBITO IVA FISCAL"/>
    <m/>
    <m/>
    <x v="1"/>
    <m/>
    <s v="24/25"/>
    <s v="EGRESOS"/>
    <s v="EFECTIVO Y OTROS ACT LÍQ EQ."/>
  </r>
  <r>
    <x v="5"/>
    <d v="2025-06-13T00:00:00"/>
    <s v="DEBITO FISCAL IVA PERCEPCION"/>
    <m/>
    <n v="432"/>
    <n v="0"/>
    <n v="-432"/>
    <n v="880242.35"/>
    <n v="1170"/>
    <n v="0.36923076923076925"/>
    <n v="0"/>
    <s v="ARS"/>
    <s v="CC"/>
    <s v="MACRO"/>
    <x v="1"/>
    <x v="1"/>
    <x v="1"/>
    <s v="IVA PERCEPCION"/>
    <m/>
    <m/>
    <x v="1"/>
    <m/>
    <s v="24/25"/>
    <s v="EGRESOS"/>
    <s v="EFECTIVO Y OTROS ACT LÍQ EQ."/>
  </r>
  <r>
    <x v="5"/>
    <d v="2025-06-13T00:00:00"/>
    <s v="COMISION CHEQUE CONSULTA"/>
    <m/>
    <n v="14400"/>
    <n v="0"/>
    <n v="-14400"/>
    <n v="865842.35"/>
    <n v="1170"/>
    <n v="12.307692307692308"/>
    <n v="0"/>
    <s v="ARS"/>
    <s v="CC"/>
    <s v="MACRO"/>
    <x v="1"/>
    <x v="7"/>
    <x v="9"/>
    <m/>
    <m/>
    <m/>
    <x v="1"/>
    <m/>
    <s v="24/25"/>
    <s v="EGRESOS"/>
    <s v="EFECTIVO Y OTROS ACT LÍQ EQ."/>
  </r>
  <r>
    <x v="5"/>
    <d v="2025-06-13T00:00:00"/>
    <s v="DBCR 25413 S/CR TASA GRAL"/>
    <m/>
    <n v="15438.6"/>
    <n v="0"/>
    <n v="-15438.6"/>
    <n v="850403.75"/>
    <n v="1170"/>
    <n v="13.195384615384615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5"/>
    <d v="2025-06-18T00:00:00"/>
    <s v="CHEQUE P/CAMARA"/>
    <s v="N58150466"/>
    <n v="1086667"/>
    <n v="0"/>
    <n v="-1086667"/>
    <n v="-236263.25"/>
    <n v="1170"/>
    <n v="928.77521367521365"/>
    <n v="0"/>
    <s v="ARS"/>
    <s v="CC"/>
    <s v="MACRO"/>
    <x v="2"/>
    <x v="4"/>
    <x v="5"/>
    <s v="FLETES"/>
    <s v="FACUNDO DE DIOS "/>
    <m/>
    <x v="6"/>
    <m/>
    <s v="24/25"/>
    <s v="BIENES Y SERVICIOS"/>
    <s v="EFECTIVO Y OTROS ACT LÍQ EQ."/>
  </r>
  <r>
    <x v="5"/>
    <d v="2025-06-18T00:00:00"/>
    <s v="CHEQUE P/CAMARA"/>
    <s v="N58730909"/>
    <n v="1253833.94"/>
    <n v="0"/>
    <n v="-1253833.94"/>
    <n v="-1490097.19"/>
    <n v="1170"/>
    <n v="1071.6529401709402"/>
    <n v="0"/>
    <s v="ARS"/>
    <s v="CC"/>
    <s v="MACRO"/>
    <x v="2"/>
    <x v="15"/>
    <x v="25"/>
    <s v="SEMILLAS"/>
    <s v="PALO VERDE"/>
    <s v="FA 9152"/>
    <x v="6"/>
    <m/>
    <s v="24/25"/>
    <s v="INSUMOS 2025"/>
    <s v="EFECTIVO Y OTROS ACT LÍQ EQ."/>
  </r>
  <r>
    <x v="5"/>
    <d v="2025-06-18T00:00:00"/>
    <s v="CHEQUE CANJE INTERNO"/>
    <s v="N57979293"/>
    <n v="1995000"/>
    <n v="0"/>
    <n v="-1995000"/>
    <n v="-3485097.19"/>
    <n v="1170"/>
    <n v="1705.1282051282051"/>
    <n v="0"/>
    <s v="ARS"/>
    <s v="CC"/>
    <s v="MACRO"/>
    <x v="5"/>
    <x v="13"/>
    <x v="36"/>
    <s v="HACIENDA"/>
    <s v="TODO CAMPO COMB"/>
    <s v="FA 8655"/>
    <x v="6"/>
    <m/>
    <s v="24/25"/>
    <s v="BIENES Y SERVICIOS"/>
    <s v="EFECTIVO Y OTROS ACT LÍQ EQ."/>
  </r>
  <r>
    <x v="5"/>
    <d v="2025-06-18T00:00:00"/>
    <s v="CHEQUE CANJE INTERNO"/>
    <s v="N58637979"/>
    <n v="3261546.52"/>
    <n v="0"/>
    <n v="-3261546.52"/>
    <n v="-6746643.71"/>
    <n v="1170"/>
    <n v="2787.6465982905984"/>
    <n v="0"/>
    <s v="ARS"/>
    <s v="CC"/>
    <s v="MACRO"/>
    <x v="2"/>
    <x v="4"/>
    <x v="5"/>
    <s v="SEGUROS"/>
    <s v="LA SEGUNDA SEGUROS"/>
    <m/>
    <x v="6"/>
    <m/>
    <s v="24/25"/>
    <s v="EGRESOS"/>
    <s v="EFECTIVO Y OTROS ACT LÍQ EQ."/>
  </r>
  <r>
    <x v="5"/>
    <d v="2025-06-18T00:00:00"/>
    <s v="TEF DATANET MT G E S A 30708920882"/>
    <m/>
    <n v="0"/>
    <n v="1000000"/>
    <n v="1000000"/>
    <n v="-5746643.71"/>
    <n v="1170"/>
    <n v="0"/>
    <n v="854.70085470085473"/>
    <s v="ARS"/>
    <s v="CC"/>
    <s v="MACRO"/>
    <x v="0"/>
    <x v="0"/>
    <x v="0"/>
    <s v="DESDE GALICIA"/>
    <m/>
    <m/>
    <x v="0"/>
    <m/>
    <s v="24/25"/>
    <m/>
    <m/>
  </r>
  <r>
    <x v="5"/>
    <d v="2025-06-18T00:00:00"/>
    <s v="DBCR 25413 S/CR TASA GRAL"/>
    <m/>
    <n v="45582.28"/>
    <n v="0"/>
    <n v="-45582.28"/>
    <n v="-5792225.9900000002"/>
    <n v="1170"/>
    <n v="38.959213675213675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5"/>
    <d v="2025-06-19T00:00:00"/>
    <s v="SANCORSEG - SANCOR SEGUROS"/>
    <m/>
    <n v="8067"/>
    <n v="0"/>
    <n v="-8067"/>
    <n v="-5800292.9900000002"/>
    <n v="1170"/>
    <n v="6.8948717948717952"/>
    <n v="0"/>
    <s v="ARS"/>
    <s v="CC"/>
    <s v="MACRO"/>
    <x v="1"/>
    <x v="7"/>
    <x v="47"/>
    <m/>
    <m/>
    <m/>
    <x v="1"/>
    <m/>
    <s v="24/25"/>
    <s v="EGRESOS"/>
    <s v="EFECTIVO Y OTROS ACT LÍQ EQ."/>
  </r>
  <r>
    <x v="5"/>
    <d v="2025-06-19T00:00:00"/>
    <s v="DBCR 25413 S/CR TASA GRAL"/>
    <m/>
    <n v="48.4"/>
    <n v="0"/>
    <n v="-48.4"/>
    <n v="-5800341.3899999997"/>
    <n v="1170"/>
    <n v="4.1367521367521365E-2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5"/>
    <d v="2025-06-24T00:00:00"/>
    <s v="CHEQUE P/CAMARA"/>
    <s v="N53810373"/>
    <n v="424276.77"/>
    <n v="0"/>
    <n v="-424276.77"/>
    <n v="-6224618.1600000001"/>
    <n v="1170"/>
    <n v="362.62971794871794"/>
    <n v="0"/>
    <s v="ARS"/>
    <s v="CC"/>
    <s v="MACRO"/>
    <x v="5"/>
    <x v="13"/>
    <x v="21"/>
    <s v="HACIENDA"/>
    <s v="EL CALDEN"/>
    <s v="FA 067"/>
    <x v="6"/>
    <m/>
    <s v="24/25"/>
    <s v="BIENES Y SERVICIOS"/>
    <s v="EFECTIVO Y OTROS ACT LÍQ EQ."/>
  </r>
  <r>
    <x v="5"/>
    <d v="2025-06-24T00:00:00"/>
    <s v="CHEQUE P/CAMARA"/>
    <s v="N57572139"/>
    <n v="357951"/>
    <n v="0"/>
    <n v="-357951"/>
    <n v="-6582569.1600000001"/>
    <n v="1170"/>
    <n v="305.94102564102565"/>
    <n v="0"/>
    <s v="ARS"/>
    <s v="CC"/>
    <s v="MACRO"/>
    <x v="3"/>
    <x v="5"/>
    <x v="7"/>
    <s v="GOMAS"/>
    <s v="GOMERIA ALTAMIRANO (AMETSEN)"/>
    <s v="FA 328"/>
    <x v="6"/>
    <m/>
    <s v="24/25"/>
    <s v="BIENES Y SERVICIOS"/>
    <s v="EFECTIVO Y OTROS ACT LÍQ EQ."/>
  </r>
  <r>
    <x v="5"/>
    <d v="2025-06-24T00:00:00"/>
    <s v="CHEQUE P/CAMARA"/>
    <s v="N57867826"/>
    <n v="1050280"/>
    <n v="0"/>
    <n v="-1050280"/>
    <n v="-7632849.1600000001"/>
    <n v="1170"/>
    <n v="897.67521367521363"/>
    <n v="0"/>
    <s v="ARS"/>
    <s v="CC"/>
    <s v="MACRO"/>
    <x v="2"/>
    <x v="4"/>
    <x v="27"/>
    <s v="ACARREO"/>
    <s v="LUCHI GIL"/>
    <m/>
    <x v="6"/>
    <m/>
    <s v="24/25"/>
    <s v="BIENES Y SERVICIOS"/>
    <s v="EFECTIVO Y OTROS ACT LÍQ EQ."/>
  </r>
  <r>
    <x v="5"/>
    <d v="2025-06-24T00:00:00"/>
    <s v="CHEQUE P/CAMARA"/>
    <s v="N57867829"/>
    <n v="234000"/>
    <n v="0"/>
    <n v="-234000"/>
    <n v="-7866849.1600000001"/>
    <n v="1170"/>
    <n v="200"/>
    <n v="0"/>
    <s v="ARS"/>
    <s v="CC"/>
    <s v="MACRO"/>
    <x v="5"/>
    <x v="13"/>
    <x v="58"/>
    <s v="HACIENDA"/>
    <s v="CENTRO DE GANADERO"/>
    <m/>
    <x v="5"/>
    <m/>
    <s v="24/25"/>
    <s v="BIENES Y SERVICIOS"/>
    <s v="EFECTIVO Y OTROS ACT LÍQ EQ."/>
  </r>
  <r>
    <x v="5"/>
    <d v="2025-06-24T00:00:00"/>
    <s v="CHEQUE P/CAMARA"/>
    <s v="N57939816"/>
    <n v="2800000"/>
    <n v="0"/>
    <n v="-2800000"/>
    <n v="-10666849.16"/>
    <n v="1170"/>
    <n v="2393.1623931623931"/>
    <n v="0"/>
    <s v="ARS"/>
    <s v="CC"/>
    <s v="MACRO"/>
    <x v="2"/>
    <x v="4"/>
    <x v="5"/>
    <s v="COSECHA 114 HAS"/>
    <s v="LUCARELLI AGUSTIN"/>
    <m/>
    <x v="6"/>
    <m/>
    <s v="24/25"/>
    <s v="BIENES Y SERVICIOS"/>
    <s v="EFECTIVO Y OTROS ACT LÍQ EQ."/>
  </r>
  <r>
    <x v="5"/>
    <d v="2025-06-24T00:00:00"/>
    <s v="TRANSF G Y E SA 30708920882 VAR VARIOS 161104"/>
    <m/>
    <n v="0"/>
    <n v="4700000"/>
    <n v="4700000"/>
    <n v="-5966849.1600000001"/>
    <n v="1170"/>
    <n v="0"/>
    <n v="4017.0940170940171"/>
    <s v="ARS"/>
    <s v="CC"/>
    <s v="MACRO"/>
    <x v="0"/>
    <x v="0"/>
    <x v="0"/>
    <s v="DESDE CC PAMPA"/>
    <m/>
    <m/>
    <x v="0"/>
    <m/>
    <s v="24/25"/>
    <m/>
    <m/>
  </r>
  <r>
    <x v="5"/>
    <d v="2025-06-24T00:00:00"/>
    <s v="TEF DATANET PR SWIFT ARGENTINA SA 30560378056"/>
    <m/>
    <n v="0"/>
    <n v="64359736"/>
    <n v="64359736"/>
    <n v="58392886.840000004"/>
    <n v="1170"/>
    <n v="0"/>
    <n v="55008.32136752137"/>
    <s v="ARS"/>
    <s v="CC"/>
    <s v="MACRO"/>
    <x v="5"/>
    <x v="21"/>
    <x v="51"/>
    <s v="VENTA 28/5/2025"/>
    <s v="SWIFT"/>
    <s v="N° Liq: 24429"/>
    <x v="21"/>
    <m/>
    <s v="24/25"/>
    <s v="EFECTIVO Y OTROS ACT LÍQ EQ."/>
    <s v="INGRESOS"/>
  </r>
  <r>
    <x v="5"/>
    <d v="2025-06-24T00:00:00"/>
    <s v="DEBITO FISCAL IVA BASICO"/>
    <m/>
    <n v="3024"/>
    <n v="0"/>
    <n v="-3024"/>
    <n v="58389862.840000004"/>
    <n v="1170"/>
    <n v="2.5846153846153848"/>
    <n v="0"/>
    <s v="ARS"/>
    <s v="CC"/>
    <s v="MACRO"/>
    <x v="1"/>
    <x v="1"/>
    <x v="1"/>
    <s v="DEBITO IVA FISCAL"/>
    <m/>
    <m/>
    <x v="1"/>
    <m/>
    <s v="24/25"/>
    <s v="EGRESOS"/>
    <s v="EFECTIVO Y OTROS ACT LÍQ EQ."/>
  </r>
  <r>
    <x v="5"/>
    <d v="2025-06-24T00:00:00"/>
    <s v="DEBITO FISCAL IVA PERCEPCION"/>
    <m/>
    <n v="432"/>
    <n v="0"/>
    <n v="-432"/>
    <n v="58389430.840000004"/>
    <n v="1170"/>
    <n v="0.36923076923076925"/>
    <n v="0"/>
    <s v="ARS"/>
    <s v="CC"/>
    <s v="MACRO"/>
    <x v="1"/>
    <x v="1"/>
    <x v="1"/>
    <s v="DEBITO IVA FISCAL"/>
    <m/>
    <m/>
    <x v="1"/>
    <m/>
    <s v="24/25"/>
    <s v="EGRESOS"/>
    <s v="EFECTIVO Y OTROS ACT LÍQ EQ."/>
  </r>
  <r>
    <x v="5"/>
    <d v="2025-06-24T00:00:00"/>
    <s v="COMISION CHEQUE CONSULTA"/>
    <m/>
    <n v="14400"/>
    <n v="0"/>
    <n v="-14400"/>
    <n v="58375030.840000004"/>
    <n v="1170"/>
    <n v="12.307692307692308"/>
    <n v="0"/>
    <s v="ARS"/>
    <s v="CC"/>
    <s v="MACRO"/>
    <x v="1"/>
    <x v="7"/>
    <x v="9"/>
    <m/>
    <m/>
    <m/>
    <x v="1"/>
    <m/>
    <s v="24/25"/>
    <s v="EGRESOS"/>
    <s v="EFECTIVO Y OTROS ACT LÍQ EQ."/>
  </r>
  <r>
    <x v="5"/>
    <d v="2025-06-24T00:00:00"/>
    <s v="DBCR 25413 S/CR TASA GRAL"/>
    <m/>
    <n v="386158.42"/>
    <n v="0"/>
    <n v="-386158.42"/>
    <n v="57988872.420000002"/>
    <n v="1170"/>
    <n v="330.04993162393163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5"/>
    <d v="2025-06-24T00:00:00"/>
    <s v="DBCR 25413 S/CR TASA GRAL"/>
    <m/>
    <n v="29306.19"/>
    <n v="0"/>
    <n v="-29306.19"/>
    <n v="57959566.229999997"/>
    <n v="1170"/>
    <n v="25.048025641025639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5"/>
    <d v="2025-06-25T00:00:00"/>
    <s v="CHEQUE P/CAMARA"/>
    <s v="N53810374"/>
    <n v="6943750"/>
    <n v="0"/>
    <n v="-6943750"/>
    <n v="51015816.229999997"/>
    <n v="1170"/>
    <n v="5934.8290598290596"/>
    <n v="0"/>
    <s v="ARS"/>
    <s v="CC"/>
    <s v="MACRO"/>
    <x v="2"/>
    <x v="4"/>
    <x v="27"/>
    <s v="COSECHA "/>
    <s v="ALTINA JOSE"/>
    <s v="FA 176"/>
    <x v="6"/>
    <m/>
    <s v="24/25"/>
    <s v="BIENES Y SERVICIOS"/>
    <s v="EFECTIVO Y OTROS ACT LÍQ EQ."/>
  </r>
  <r>
    <x v="5"/>
    <d v="2025-06-25T00:00:00"/>
    <s v="CHEQUE P/CAMARA"/>
    <s v="N58345537"/>
    <n v="205379.35"/>
    <n v="0"/>
    <n v="-205379.35"/>
    <n v="50810436.880000003"/>
    <n v="1170"/>
    <n v="175.53790598290598"/>
    <n v="0"/>
    <s v="ARS"/>
    <s v="CC"/>
    <s v="MACRO"/>
    <x v="3"/>
    <x v="5"/>
    <x v="6"/>
    <m/>
    <s v="HUINCAGRO"/>
    <s v="FA 83 FA 09"/>
    <x v="6"/>
    <m/>
    <s v="24/25"/>
    <s v="BIENES Y SERVICIOS"/>
    <s v="EFECTIVO Y OTROS ACT LÍQ EQ."/>
  </r>
  <r>
    <x v="5"/>
    <d v="2025-06-25T00:00:00"/>
    <s v="TRANSF. MACRONLINE E-SET D/T"/>
    <m/>
    <n v="25002223.5"/>
    <n v="0"/>
    <n v="-25002223.5"/>
    <n v="25808213.379999999"/>
    <n v="1170"/>
    <n v="21369.421794871796"/>
    <n v="0"/>
    <s v="ARS"/>
    <s v="CC"/>
    <s v="MACRO"/>
    <x v="5"/>
    <x v="17"/>
    <x v="59"/>
    <m/>
    <s v="COLOMBO&amp;COLOMBO"/>
    <m/>
    <x v="18"/>
    <m/>
    <s v="24/25"/>
    <s v="EGRESOS"/>
    <s v="EFECTIVO Y OTROS ACT LÍQ EQ."/>
  </r>
  <r>
    <x v="5"/>
    <d v="2025-06-25T00:00:00"/>
    <s v="COMISION TRF. MACROL E-SET"/>
    <m/>
    <n v="121"/>
    <n v="0"/>
    <n v="-121"/>
    <n v="25808092.379999999"/>
    <n v="1170"/>
    <n v="0.10341880341880341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5"/>
    <d v="2025-06-25T00:00:00"/>
    <s v="TRANSF. MACRONLINE E-SET M/T"/>
    <m/>
    <n v="7200000"/>
    <n v="0"/>
    <n v="-7200000"/>
    <n v="18608092.379999999"/>
    <n v="1170"/>
    <n v="6153.8461538461543"/>
    <n v="0"/>
    <s v="ARS"/>
    <s v="CC"/>
    <s v="MACRO"/>
    <x v="0"/>
    <x v="0"/>
    <x v="0"/>
    <s v="HACIA CC GALICIA"/>
    <m/>
    <m/>
    <x v="0"/>
    <m/>
    <s v="24/25"/>
    <m/>
    <m/>
  </r>
  <r>
    <x v="5"/>
    <d v="2025-06-25T00:00:00"/>
    <s v="COMISION TRF. MACROL E-SET"/>
    <m/>
    <n v="121"/>
    <n v="0"/>
    <n v="-121"/>
    <n v="18607971.379999999"/>
    <n v="1170"/>
    <n v="0.10341880341880341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5"/>
    <d v="2025-06-25T00:00:00"/>
    <s v="TRANSF. MACRONLINE E-SET M/T"/>
    <m/>
    <n v="14000000"/>
    <n v="0"/>
    <n v="-14000000"/>
    <n v="4607971.38"/>
    <n v="1170"/>
    <n v="11965.811965811965"/>
    <n v="0"/>
    <s v="ARS"/>
    <s v="CC"/>
    <s v="MACRO"/>
    <x v="0"/>
    <x v="0"/>
    <x v="0"/>
    <s v="HACIA CC PAMPA"/>
    <m/>
    <m/>
    <x v="0"/>
    <m/>
    <s v="24/25"/>
    <m/>
    <m/>
  </r>
  <r>
    <x v="5"/>
    <d v="2025-06-25T00:00:00"/>
    <s v="COMISION TRF. MACROL E-SET"/>
    <m/>
    <n v="121"/>
    <n v="0"/>
    <n v="-121"/>
    <n v="4607850.38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5"/>
    <d v="2025-06-25T00:00:00"/>
    <s v="DBCR 25413 S/CR TASA GRAL"/>
    <m/>
    <n v="192910.31"/>
    <n v="0"/>
    <n v="-192910.31"/>
    <n v="4414940.07"/>
    <n v="1170"/>
    <n v="164.88060683760685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5"/>
    <d v="2025-06-26T00:00:00"/>
    <s v="CHEQUE P/CAMARA"/>
    <s v="N57867830"/>
    <n v="2059843.5"/>
    <n v="0"/>
    <n v="-2059843.5"/>
    <n v="2355096.5699999998"/>
    <n v="1170"/>
    <n v="1760.55"/>
    <n v="0"/>
    <s v="ARS"/>
    <s v="CC"/>
    <s v="MACRO"/>
    <x v="2"/>
    <x v="4"/>
    <x v="5"/>
    <s v="FLETES"/>
    <s v="AMIN JOSE "/>
    <s v="FA50"/>
    <x v="6"/>
    <m/>
    <s v="24/25"/>
    <s v="BIENES Y SERVICIOS"/>
    <s v="EFECTIVO Y OTROS ACT LÍQ EQ."/>
  </r>
  <r>
    <x v="5"/>
    <d v="2025-06-26T00:00:00"/>
    <s v="TRANSF. MACRONLINE E-SET D/T"/>
    <m/>
    <n v="450000"/>
    <n v="0"/>
    <n v="-450000"/>
    <n v="1905096.57"/>
    <n v="1170"/>
    <n v="384.61538461538464"/>
    <n v="0"/>
    <s v="ARS"/>
    <s v="CC"/>
    <s v="MACRO"/>
    <x v="1"/>
    <x v="2"/>
    <x v="2"/>
    <s v="PARTE JULIO"/>
    <s v="CLAUDIA ERRECALDE"/>
    <m/>
    <x v="15"/>
    <s v="CLAUDIA"/>
    <s v="24/25"/>
    <s v="FUTURAS UT. ADL CLAUDIA"/>
    <s v="EFECTIVO Y OTROS ACT LÍQ EQ."/>
  </r>
  <r>
    <x v="5"/>
    <d v="2025-06-26T00:00:00"/>
    <s v="COMISION TRF. MACROL E-SET"/>
    <m/>
    <n v="121"/>
    <n v="0"/>
    <n v="-121"/>
    <n v="1904975.57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5"/>
    <d v="2025-06-26T00:00:00"/>
    <s v="TRANSF. MACRONLINE E-SET D/T"/>
    <m/>
    <n v="600000"/>
    <n v="0"/>
    <n v="-600000"/>
    <n v="1304975.57"/>
    <n v="1170"/>
    <n v="512.82051282051282"/>
    <n v="0"/>
    <s v="ARS"/>
    <s v="CC"/>
    <s v="MACRO"/>
    <x v="1"/>
    <x v="3"/>
    <x v="3"/>
    <s v="ADELANTO SUELDO"/>
    <s v="ANDRES TOLEDO"/>
    <m/>
    <x v="3"/>
    <m/>
    <s v="24/25"/>
    <s v="EGRESOS"/>
    <s v="EFECTIVO Y OTROS ACT LÍQ EQ."/>
  </r>
  <r>
    <x v="5"/>
    <d v="2025-06-26T00:00:00"/>
    <s v="COMISION TRF. MACROL E-SET"/>
    <m/>
    <n v="121"/>
    <n v="0"/>
    <n v="-121"/>
    <n v="1304854.57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5"/>
    <d v="2025-06-26T00:00:00"/>
    <s v="DBCR 25413 S/CR TASA GRAL"/>
    <m/>
    <n v="18660.52"/>
    <n v="0"/>
    <n v="-18660.52"/>
    <n v="1286194.05"/>
    <n v="1170"/>
    <n v="15.949162393162393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5"/>
    <d v="2025-06-27T00:00:00"/>
    <s v="TRANSF. MACRONLINE E-SET D/T"/>
    <m/>
    <n v="498034.54"/>
    <n v="0"/>
    <n v="-498034.54"/>
    <n v="788159.51"/>
    <n v="1170"/>
    <n v="425.67054700854698"/>
    <n v="0"/>
    <s v="ARS"/>
    <s v="CC"/>
    <s v="MACRO"/>
    <x v="5"/>
    <x v="13"/>
    <x v="60"/>
    <s v="SUPLEMENTOS"/>
    <s v="TEKNAL"/>
    <m/>
    <x v="6"/>
    <m/>
    <s v="24/25"/>
    <s v="BIENES Y SERVICIOS"/>
    <s v="EFECTIVO Y OTROS ACT LÍQ EQ."/>
  </r>
  <r>
    <x v="5"/>
    <d v="2025-06-27T00:00:00"/>
    <s v="COMISION TRF. MACROL E-SET"/>
    <m/>
    <n v="121"/>
    <n v="0"/>
    <n v="-121"/>
    <n v="788038.51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5"/>
    <d v="2025-06-27T00:00:00"/>
    <s v="DEBITO FISCAL IVA BASICO"/>
    <m/>
    <n v="2614.5"/>
    <n v="0"/>
    <n v="-2614.5"/>
    <n v="785424.01"/>
    <n v="1170"/>
    <n v="2.2346153846153847"/>
    <n v="0"/>
    <s v="ARS"/>
    <s v="CC"/>
    <s v="MACRO"/>
    <x v="1"/>
    <x v="1"/>
    <x v="1"/>
    <s v="DEBITO IVA FISCAL"/>
    <m/>
    <m/>
    <x v="1"/>
    <m/>
    <s v="24/25"/>
    <s v="EGRESOS"/>
    <s v="EFECTIVO Y OTROS ACT LÍQ EQ."/>
  </r>
  <r>
    <x v="5"/>
    <d v="2025-06-27T00:00:00"/>
    <s v="DEBITO FISCAL IVA PERCEPCION"/>
    <m/>
    <n v="373.5"/>
    <n v="0"/>
    <n v="-373.5"/>
    <n v="785050.51"/>
    <n v="1170"/>
    <n v="0.31923076923076921"/>
    <n v="0"/>
    <s v="ARS"/>
    <s v="CC"/>
    <s v="MACRO"/>
    <x v="1"/>
    <x v="1"/>
    <x v="1"/>
    <s v="IVA PERCEPCION"/>
    <m/>
    <m/>
    <x v="1"/>
    <m/>
    <s v="24/25"/>
    <s v="EGRESOS"/>
    <s v="EFECTIVO Y OTROS ACT LÍQ EQ."/>
  </r>
  <r>
    <x v="5"/>
    <d v="2025-06-27T00:00:00"/>
    <s v="COMISION CHQ PAG CLEARING"/>
    <m/>
    <n v="12450"/>
    <n v="0"/>
    <n v="-12450"/>
    <n v="772600.51"/>
    <n v="1170"/>
    <n v="10.641025641025641"/>
    <n v="0"/>
    <s v="ARS"/>
    <s v="CC"/>
    <s v="MACRO"/>
    <x v="1"/>
    <x v="7"/>
    <x v="9"/>
    <m/>
    <m/>
    <m/>
    <x v="1"/>
    <m/>
    <s v="24/25"/>
    <s v="EGRESOS"/>
    <s v="EFECTIVO Y OTROS ACT LÍQ EQ."/>
  </r>
  <r>
    <x v="5"/>
    <d v="2025-06-27T00:00:00"/>
    <s v="DBCR 25413 S/CR TASA GRAL"/>
    <m/>
    <n v="3081.57"/>
    <n v="0"/>
    <n v="-3081.57"/>
    <n v="769518.94"/>
    <n v="1170"/>
    <n v="2.6338205128205128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5"/>
    <d v="2025-06-27T00:00:00"/>
    <s v="DB TR..AUT.SDO.MISMO TIT."/>
    <m/>
    <n v="57382.239999999998"/>
    <n v="0"/>
    <n v="-57382.239999999998"/>
    <n v="712136.7"/>
    <n v="1170"/>
    <n v="49.044649572649568"/>
    <n v="0"/>
    <s v="ARS"/>
    <s v="CC"/>
    <s v="MACRO"/>
    <x v="0"/>
    <x v="0"/>
    <x v="0"/>
    <s v="HACIA CA MACRO"/>
    <m/>
    <m/>
    <x v="0"/>
    <m/>
    <m/>
    <m/>
    <m/>
  </r>
  <r>
    <x v="5"/>
    <d v="2025-06-30T00:00:00"/>
    <s v="CHEQUE P/CAMARA"/>
    <s v="N58819565"/>
    <n v="2583932"/>
    <n v="0"/>
    <n v="-2583932"/>
    <n v="-1871795.3"/>
    <n v="1170"/>
    <n v="2208.4888888888891"/>
    <n v="0"/>
    <s v="ARS"/>
    <s v="CC"/>
    <s v="MACRO"/>
    <x v="2"/>
    <x v="4"/>
    <x v="5"/>
    <s v="EXTRACCION"/>
    <s v="EL POLO TAVI GALVAN"/>
    <s v="FA 152"/>
    <x v="6"/>
    <m/>
    <s v="24/25"/>
    <s v="BIENES Y SERVICIOS"/>
    <s v="EFECTIVO Y OTROS ACT LÍQ EQ."/>
  </r>
  <r>
    <x v="5"/>
    <d v="2025-06-30T00:00:00"/>
    <s v="TRANSF 30710771576 VAR"/>
    <m/>
    <n v="0"/>
    <n v="28644071.59"/>
    <n v="28644071.59"/>
    <n v="26772276.289999999"/>
    <n v="1170"/>
    <n v="0"/>
    <n v="24482.112470085471"/>
    <s v="ARS"/>
    <s v="CC"/>
    <s v="MACRO"/>
    <x v="2"/>
    <x v="4"/>
    <x v="5"/>
    <s v="VENTA"/>
    <s v="LEIVA HNOS"/>
    <m/>
    <x v="14"/>
    <m/>
    <s v="24/25"/>
    <s v="EFECTIVO Y OTROS ACT LÍQ EQ."/>
    <s v="INGRESOS"/>
  </r>
  <r>
    <x v="5"/>
    <d v="2025-06-30T00:00:00"/>
    <s v="DBCR 25413 S/CR TASA GRAL"/>
    <m/>
    <n v="171864.43"/>
    <n v="0"/>
    <n v="-171864.43"/>
    <n v="26600411.859999999"/>
    <n v="1170"/>
    <n v="146.8926752136752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5"/>
    <d v="2025-06-30T00:00:00"/>
    <s v="DBCR 25413 S/DB TASA GRAL"/>
    <m/>
    <n v="15503.59"/>
    <n v="0"/>
    <n v="-15503.59"/>
    <n v="26584908.27"/>
    <n v="1170"/>
    <n v="13.250931623931624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6"/>
    <d v="2025-07-01T00:00:00"/>
    <s v="DEBITO FISCAL IVA BASICO"/>
    <m/>
    <n v="8758.66"/>
    <n v="0"/>
    <n v="-8758.66"/>
    <n v="26576149.609999999"/>
    <n v="1170"/>
    <n v="7.4860341880341883"/>
    <n v="0"/>
    <s v="ARS"/>
    <s v="CC"/>
    <s v="MACRO"/>
    <x v="1"/>
    <x v="1"/>
    <x v="1"/>
    <s v="DEBITO IVA FISCAL"/>
    <m/>
    <m/>
    <x v="1"/>
    <m/>
    <s v="24/25"/>
    <s v="EGRESOS"/>
    <s v="EFECTIVO Y OTROS ACT LÍQ EQ."/>
  </r>
  <r>
    <x v="6"/>
    <d v="2025-07-01T00:00:00"/>
    <s v="DEBITO FISCAL IVA PERCEPCION"/>
    <m/>
    <n v="1251.24"/>
    <n v="0"/>
    <n v="-1251.24"/>
    <n v="26574898.370000001"/>
    <n v="1170"/>
    <n v="1.0694358974358975"/>
    <n v="0"/>
    <s v="ARS"/>
    <s v="CC"/>
    <s v="MACRO"/>
    <x v="1"/>
    <x v="1"/>
    <x v="1"/>
    <s v="IVA PERCEPCION"/>
    <m/>
    <m/>
    <x v="1"/>
    <m/>
    <s v="24/25"/>
    <s v="EGRESOS"/>
    <s v="EFECTIVO Y OTROS ACT LÍQ EQ."/>
  </r>
  <r>
    <x v="6"/>
    <d v="2025-07-01T00:00:00"/>
    <s v="INTER.ADEL.CC C/ACUERD"/>
    <m/>
    <n v="83415.820000000007"/>
    <n v="0"/>
    <n v="-83415.820000000007"/>
    <n v="26491482.550000001"/>
    <n v="1170"/>
    <n v="71.295572649572662"/>
    <n v="0"/>
    <s v="ARS"/>
    <s v="CC"/>
    <s v="MACRO"/>
    <x v="1"/>
    <x v="6"/>
    <x v="8"/>
    <m/>
    <m/>
    <m/>
    <x v="1"/>
    <m/>
    <s v="24/25"/>
    <s v="EGRESOS"/>
    <s v="EFECTIVO Y OTROS ACT LÍQ EQ."/>
  </r>
  <r>
    <x v="6"/>
    <d v="2025-07-01T00:00:00"/>
    <s v="DEBITO FISCAL IVA BASICO"/>
    <m/>
    <n v="3728.43"/>
    <n v="0"/>
    <n v="-3728.43"/>
    <n v="26487754.120000001"/>
    <n v="1170"/>
    <n v="3.1866923076923075"/>
    <n v="0"/>
    <s v="ARS"/>
    <s v="CC"/>
    <s v="MACRO"/>
    <x v="1"/>
    <x v="1"/>
    <x v="1"/>
    <s v="DEBITO IVA FISCAL"/>
    <m/>
    <m/>
    <x v="1"/>
    <m/>
    <s v="24/25"/>
    <s v="EGRESOS"/>
    <s v="EFECTIVO Y OTROS ACT LÍQ EQ."/>
  </r>
  <r>
    <x v="6"/>
    <d v="2025-07-01T00:00:00"/>
    <s v="DEBITO FISCAL IVA PERCEPCION"/>
    <m/>
    <n v="532.63"/>
    <n v="0"/>
    <n v="-532.63"/>
    <n v="26487221.489999998"/>
    <n v="1170"/>
    <n v="0.45523931623931624"/>
    <n v="0"/>
    <s v="ARS"/>
    <s v="CC"/>
    <s v="MACRO"/>
    <x v="1"/>
    <x v="1"/>
    <x v="1"/>
    <s v="IVA PERCEPCION"/>
    <m/>
    <m/>
    <x v="1"/>
    <m/>
    <s v="24/25"/>
    <s v="EGRESOS"/>
    <s v="EFECTIVO Y OTROS ACT LÍQ EQ."/>
  </r>
  <r>
    <x v="6"/>
    <d v="2025-07-01T00:00:00"/>
    <s v="INTER.ADEL.CC C/ACUERD"/>
    <m/>
    <n v="35508.85"/>
    <n v="0"/>
    <n v="-35508.85"/>
    <n v="26451712.640000001"/>
    <n v="1170"/>
    <n v="30.349444444444444"/>
    <n v="0"/>
    <s v="ARS"/>
    <s v="CC"/>
    <s v="MACRO"/>
    <x v="1"/>
    <x v="6"/>
    <x v="8"/>
    <m/>
    <m/>
    <m/>
    <x v="1"/>
    <m/>
    <s v="24/25"/>
    <s v="EGRESOS"/>
    <s v="EFECTIVO Y OTROS ACT LÍQ EQ."/>
  </r>
  <r>
    <x v="6"/>
    <d v="2025-07-01T00:00:00"/>
    <s v="CHEQUE P/CAMARA"/>
    <s v="N57867832"/>
    <n v="109290"/>
    <n v="0"/>
    <n v="-109290"/>
    <n v="26342422.640000001"/>
    <n v="1170"/>
    <n v="93.410256410256409"/>
    <n v="0"/>
    <s v="ARS"/>
    <s v="CC"/>
    <s v="MACRO"/>
    <x v="5"/>
    <x v="13"/>
    <x v="21"/>
    <m/>
    <s v="LA YUNTA VET"/>
    <s v="FA 346"/>
    <x v="6"/>
    <m/>
    <s v="24/25"/>
    <s v="BIENES Y SERVICIOS"/>
    <s v="EFECTIVO Y OTROS ACT LÍQ EQ."/>
  </r>
  <r>
    <x v="6"/>
    <d v="2025-07-01T00:00:00"/>
    <s v="CHEQUE CANJE INTERNO"/>
    <s v="N51936042"/>
    <n v="15000000"/>
    <n v="0"/>
    <n v="-15000000"/>
    <n v="11342422.640000001"/>
    <n v="1170"/>
    <n v="12820.51282051282"/>
    <n v="0"/>
    <s v="ARS"/>
    <s v="CC"/>
    <s v="MACRO"/>
    <x v="2"/>
    <x v="4"/>
    <x v="5"/>
    <s v="INSUMOS "/>
    <s v="TODO CAMPO INS"/>
    <m/>
    <x v="6"/>
    <m/>
    <s v="24/25"/>
    <s v="INSUMOS 2025"/>
    <s v="EFECTIVO Y OTROS ACT LÍQ EQ."/>
  </r>
  <r>
    <x v="6"/>
    <d v="2025-07-01T00:00:00"/>
    <s v="TRANSF. MACRONLINE E-SET D/T"/>
    <m/>
    <n v="85232"/>
    <n v="0"/>
    <n v="-85232"/>
    <n v="11257190.640000001"/>
    <n v="1170"/>
    <n v="72.847863247863245"/>
    <n v="0"/>
    <s v="ARS"/>
    <s v="CC"/>
    <s v="MACRO"/>
    <x v="3"/>
    <x v="5"/>
    <x v="7"/>
    <m/>
    <s v="CIANCIO"/>
    <m/>
    <x v="6"/>
    <m/>
    <s v="24/25"/>
    <s v="BIENES Y SERVICIOS"/>
    <s v="EFECTIVO Y OTROS ACT LÍQ EQ."/>
  </r>
  <r>
    <x v="6"/>
    <d v="2025-07-01T00:00:00"/>
    <s v="TRANSF. MACRONLINE E-SET D/T"/>
    <m/>
    <n v="96280"/>
    <n v="0"/>
    <n v="-96280"/>
    <n v="11160910.640000001"/>
    <n v="1170"/>
    <n v="82.290598290598297"/>
    <n v="0"/>
    <s v="ARS"/>
    <s v="CC"/>
    <s v="MACRO"/>
    <x v="1"/>
    <x v="7"/>
    <x v="47"/>
    <s v="SEGURO HILUX"/>
    <s v="RAUL"/>
    <m/>
    <x v="1"/>
    <s v="RAUL"/>
    <s v="24/25"/>
    <s v="EGRESOS"/>
    <s v="EFECTIVO Y OTROS ACT LÍQ EQ."/>
  </r>
  <r>
    <x v="6"/>
    <d v="2025-07-01T00:00:00"/>
    <s v="TRANSF. MACRONLINE E-SET M/T"/>
    <m/>
    <n v="770000"/>
    <n v="0"/>
    <n v="-770000"/>
    <n v="10390910.640000001"/>
    <n v="1170"/>
    <n v="658.11965811965808"/>
    <n v="0"/>
    <s v="ARS"/>
    <s v="CC"/>
    <s v="MACRO"/>
    <x v="0"/>
    <x v="0"/>
    <x v="0"/>
    <s v="HACIA CC NACION"/>
    <m/>
    <m/>
    <x v="0"/>
    <m/>
    <m/>
    <m/>
    <m/>
  </r>
  <r>
    <x v="6"/>
    <d v="2025-07-01T00:00:00"/>
    <s v="COMISION TRF. MACROL E-SET"/>
    <m/>
    <n v="121"/>
    <n v="0"/>
    <n v="-121"/>
    <n v="10390789.640000001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6"/>
    <d v="2025-07-01T00:00:00"/>
    <s v="TRANSF. MACRONLINE E-SET D/T"/>
    <m/>
    <n v="2036480.56"/>
    <n v="0"/>
    <n v="-2036480.56"/>
    <n v="8354309.0800000001"/>
    <n v="1170"/>
    <n v="1740.5816752136752"/>
    <n v="0"/>
    <s v="ARS"/>
    <s v="CC"/>
    <s v="MACRO"/>
    <x v="1"/>
    <x v="24"/>
    <x v="61"/>
    <m/>
    <s v="CONSEJO PROF CS ECONOMICAS"/>
    <m/>
    <x v="1"/>
    <m/>
    <s v="24/25"/>
    <s v="EGRESOS"/>
    <s v="EFECTIVO Y OTROS ACT LÍQ EQ."/>
  </r>
  <r>
    <x v="6"/>
    <d v="2025-07-01T00:00:00"/>
    <s v="COMISION TRF. MACROL E-SET"/>
    <m/>
    <n v="121"/>
    <n v="0"/>
    <n v="-121"/>
    <n v="8354188.0800000001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6"/>
    <d v="2025-07-01T00:00:00"/>
    <s v="TRANSF. MACRONLINE E-SET D/T"/>
    <m/>
    <n v="1500000"/>
    <n v="0"/>
    <n v="-1500000"/>
    <n v="6854188.0800000001"/>
    <n v="1170"/>
    <n v="1282.051282051282"/>
    <n v="0"/>
    <s v="ARS"/>
    <s v="CC"/>
    <s v="MACRO"/>
    <x v="1"/>
    <x v="11"/>
    <x v="54"/>
    <m/>
    <s v="BECERRA ADRIAN"/>
    <m/>
    <x v="10"/>
    <m/>
    <s v="24/25"/>
    <s v="ACREEDORES A COBRAR"/>
    <s v="EFECTIVO Y OTROS ACT LÍQ EQ."/>
  </r>
  <r>
    <x v="6"/>
    <d v="2025-07-01T00:00:00"/>
    <s v="COMISION TRF. MACROL E-SET"/>
    <m/>
    <n v="121"/>
    <n v="0"/>
    <n v="-121"/>
    <n v="6854067.0800000001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6"/>
    <d v="2025-07-01T00:00:00"/>
    <s v="DGR SELLOS CORDOBA"/>
    <m/>
    <n v="2159.8000000000002"/>
    <n v="0"/>
    <n v="-2159.8000000000002"/>
    <n v="6851907.2800000003"/>
    <n v="1170"/>
    <n v="1.845982905982906"/>
    <n v="0"/>
    <s v="ARS"/>
    <s v="CC"/>
    <s v="MACRO"/>
    <x v="1"/>
    <x v="1"/>
    <x v="1"/>
    <s v="SELLOS"/>
    <m/>
    <m/>
    <x v="1"/>
    <m/>
    <s v="24/25"/>
    <s v="EGRESOS"/>
    <s v="EFECTIVO Y OTROS ACT LÍQ EQ."/>
  </r>
  <r>
    <x v="6"/>
    <d v="2025-07-01T00:00:00"/>
    <s v="DGR SELLOS CORDOBA"/>
    <m/>
    <n v="886.2"/>
    <n v="0"/>
    <n v="-886.2"/>
    <n v="6851021.0800000001"/>
    <n v="1170"/>
    <n v="0.75743589743589745"/>
    <n v="0"/>
    <s v="ARS"/>
    <s v="CC"/>
    <s v="MACRO"/>
    <x v="1"/>
    <x v="1"/>
    <x v="1"/>
    <s v="SELLOS"/>
    <m/>
    <m/>
    <x v="1"/>
    <m/>
    <s v="24/25"/>
    <s v="EGRESOS"/>
    <s v="EFECTIVO Y OTROS ACT LÍQ EQ."/>
  </r>
  <r>
    <x v="6"/>
    <d v="2025-07-01T00:00:00"/>
    <s v="DBCR 25413 S/DB TASA GRAL"/>
    <m/>
    <n v="113783.33"/>
    <n v="0"/>
    <n v="-113783.33"/>
    <n v="6737237.75"/>
    <n v="1170"/>
    <n v="97.2507094017094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6"/>
    <d v="2025-07-01T00:00:00"/>
    <s v="DB TR..AUT.SDO.MISMO TIT."/>
    <m/>
    <n v="804944.65"/>
    <n v="0"/>
    <n v="-804944.65"/>
    <n v="5932293.0999999996"/>
    <n v="1170"/>
    <n v="687.98688034188035"/>
    <n v="0"/>
    <s v="ARS"/>
    <s v="CC"/>
    <s v="MACRO"/>
    <x v="0"/>
    <x v="0"/>
    <x v="0"/>
    <s v="DESDE CC MACRO"/>
    <m/>
    <m/>
    <x v="0"/>
    <m/>
    <s v="24/25"/>
    <m/>
    <m/>
  </r>
  <r>
    <x v="6"/>
    <d v="2025-07-02T00:00:00"/>
    <s v="TRANSF. MACRONLINE E-SET M/T"/>
    <m/>
    <n v="50000"/>
    <n v="0"/>
    <n v="-50000"/>
    <n v="5882293.0999999996"/>
    <n v="1170"/>
    <n v="42.735042735042732"/>
    <n v="0"/>
    <s v="ARS"/>
    <s v="CC"/>
    <s v="MACRO"/>
    <x v="0"/>
    <x v="0"/>
    <x v="0"/>
    <s v="DESDE CC NACION"/>
    <m/>
    <m/>
    <x v="0"/>
    <m/>
    <s v="24/25"/>
    <m/>
    <m/>
  </r>
  <r>
    <x v="6"/>
    <d v="2025-07-02T00:00:00"/>
    <s v="TRANSF. MACRONLINE E-SET M/T"/>
    <m/>
    <n v="2000000"/>
    <n v="0"/>
    <n v="-2000000"/>
    <n v="3882293.1"/>
    <n v="1170"/>
    <n v="1709.4017094017095"/>
    <n v="0"/>
    <s v="ARS"/>
    <s v="CC"/>
    <s v="MACRO"/>
    <x v="0"/>
    <x v="0"/>
    <x v="0"/>
    <s v="DESDE CC GALICIA"/>
    <m/>
    <m/>
    <x v="0"/>
    <m/>
    <s v="24/25"/>
    <m/>
    <m/>
  </r>
  <r>
    <x v="6"/>
    <d v="2025-07-02T00:00:00"/>
    <s v="COMISION TRF. MACROL E-SET"/>
    <m/>
    <n v="121"/>
    <n v="0"/>
    <n v="-121"/>
    <n v="3882172.1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6"/>
    <d v="2025-07-02T00:00:00"/>
    <s v="TRANSF. MACRONLINE E-SET D/T"/>
    <m/>
    <n v="86000"/>
    <n v="0"/>
    <n v="-86000"/>
    <n v="3796172.1"/>
    <n v="1170"/>
    <n v="73.504273504273499"/>
    <n v="0"/>
    <s v="ARS"/>
    <s v="CC"/>
    <s v="MACRO"/>
    <x v="3"/>
    <x v="5"/>
    <x v="6"/>
    <s v="TERMO PARA ANDRES"/>
    <s v="RODRIGUEZ RAUL"/>
    <m/>
    <x v="6"/>
    <m/>
    <s v="24/25"/>
    <s v="BIENES Y SERVICIOS"/>
    <s v="EFECTIVO Y OTROS ACT LÍQ EQ."/>
  </r>
  <r>
    <x v="6"/>
    <d v="2025-07-02T00:00:00"/>
    <s v="DBCR 25413 S/DB TASA GRAL"/>
    <m/>
    <n v="516.73"/>
    <n v="0"/>
    <n v="-516.73"/>
    <n v="3795655.37"/>
    <n v="1170"/>
    <n v="0.44164957264957266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6"/>
    <d v="2025-07-02T00:00:00"/>
    <s v="DBCR 25413 S/DB TASA GRAL"/>
    <m/>
    <n v="516.73"/>
    <n v="0"/>
    <n v="-516.73"/>
    <n v="3795655.37"/>
    <n v="1170"/>
    <n v="0.44164957264957266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6"/>
    <d v="2025-07-03T00:00:00"/>
    <s v="TRANSF. MACRONLINE E-SET D/T"/>
    <m/>
    <n v="934252"/>
    <n v="0"/>
    <n v="-934252"/>
    <n v="2861403.37"/>
    <n v="1170"/>
    <n v="798.50598290598293"/>
    <n v="0"/>
    <s v="ARS"/>
    <s v="CC"/>
    <s v="MACRO"/>
    <x v="2"/>
    <x v="4"/>
    <x v="4"/>
    <s v="HONORARIOS"/>
    <s v="CESAR DIAZ"/>
    <s v="FA 52"/>
    <x v="6"/>
    <m/>
    <s v="24/25"/>
    <s v="BIENES Y SERVICIOS"/>
    <s v="EFECTIVO Y OTROS ACT LÍQ EQ."/>
  </r>
  <r>
    <x v="6"/>
    <d v="2025-07-03T00:00:00"/>
    <s v="COMISION TRF. MACROL E-SET"/>
    <m/>
    <n v="121"/>
    <n v="0"/>
    <n v="-121"/>
    <n v="2861282.37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6"/>
    <d v="2025-07-03T00:00:00"/>
    <s v="TEF DATANET PR SWIFT ARGENTINA SA 30560378056"/>
    <m/>
    <n v="0"/>
    <n v="63472748.5"/>
    <n v="63472748.5"/>
    <n v="66334030.869999997"/>
    <n v="1170"/>
    <n v="0"/>
    <n v="54250.212393162394"/>
    <s v="ARS"/>
    <s v="CC"/>
    <s v="MACRO"/>
    <x v="5"/>
    <x v="21"/>
    <x v="62"/>
    <s v="VENTA 12/06/2025"/>
    <s v="SWIFT"/>
    <s v="N° Liq: 24543"/>
    <x v="21"/>
    <m/>
    <s v="24/25"/>
    <s v="EFECTIVO Y OTROS ACT LÍQ EQ."/>
    <s v="INGRESOS"/>
  </r>
  <r>
    <x v="6"/>
    <d v="2025-07-03T00:00:00"/>
    <s v="DBCR 25413 S/CR TASA GRAL"/>
    <m/>
    <n v="380836.49"/>
    <n v="0"/>
    <n v="-380836.49"/>
    <n v="65953194.380000003"/>
    <n v="1170"/>
    <n v="325.50127350427351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6"/>
    <d v="2025-07-03T00:00:00"/>
    <s v="DBCR 25413 S/DB TASA GRAL"/>
    <m/>
    <n v="5606.24"/>
    <n v="0"/>
    <n v="-5606.24"/>
    <n v="65947588.140000001"/>
    <n v="1170"/>
    <n v="4.7916581196581198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6"/>
    <d v="2025-07-07T00:00:00"/>
    <s v="TRANSF. MACRONLINE E-SET D/T"/>
    <m/>
    <n v="500000"/>
    <n v="0"/>
    <n v="-500000"/>
    <n v="65447588.140000001"/>
    <n v="1170"/>
    <n v="427.35042735042737"/>
    <n v="0"/>
    <s v="ARS"/>
    <s v="CC"/>
    <s v="MACRO"/>
    <x v="1"/>
    <x v="2"/>
    <x v="63"/>
    <m/>
    <s v="CLAUDIA ERRECALDE"/>
    <m/>
    <x v="15"/>
    <s v="CLAUDIA"/>
    <s v="24/25"/>
    <s v="FUTURAS UT. ADL CLAUDIA"/>
    <s v="EFECTIVO Y OTROS ACT LÍQ EQ."/>
  </r>
  <r>
    <x v="6"/>
    <d v="2025-07-07T00:00:00"/>
    <s v="COMISION TRF. MACROL E-SET"/>
    <m/>
    <n v="121"/>
    <n v="0"/>
    <n v="-121"/>
    <n v="65447467.140000001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6"/>
    <d v="2025-07-07T00:00:00"/>
    <s v="TRANSF. MACRONLINE E-SET M/T"/>
    <m/>
    <n v="60000000"/>
    <n v="0"/>
    <n v="-60000000"/>
    <n v="5447467.1399999997"/>
    <n v="1170"/>
    <n v="51282.051282051281"/>
    <n v="0"/>
    <s v="ARS"/>
    <s v="CC"/>
    <s v="MACRO"/>
    <x v="0"/>
    <x v="0"/>
    <x v="0"/>
    <s v="HACIA CC GALICIA"/>
    <m/>
    <m/>
    <x v="0"/>
    <m/>
    <s v="24/25"/>
    <m/>
    <m/>
  </r>
  <r>
    <x v="6"/>
    <d v="2025-07-07T00:00:00"/>
    <s v="COMISION TRF. MACROL E-SET"/>
    <m/>
    <n v="121"/>
    <n v="0"/>
    <n v="-121"/>
    <n v="5447346.1399999997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6"/>
    <d v="2025-07-07T00:00:00"/>
    <s v="DBCR 25413 S/DB TASA GRAL"/>
    <m/>
    <n v="3001.46"/>
    <n v="0"/>
    <n v="-3001.46"/>
    <n v="5444344.6799999997"/>
    <n v="1170"/>
    <n v="2.5653504273504275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6"/>
    <d v="2025-07-08T00:00:00"/>
    <s v="CHEQUE P/CAMARA"/>
    <s v="N57867827"/>
    <n v="1050282"/>
    <n v="0"/>
    <n v="-1050282"/>
    <n v="4394062.68"/>
    <n v="1170"/>
    <n v="897.67692307692312"/>
    <n v="0"/>
    <s v="ARS"/>
    <s v="CC"/>
    <s v="MACRO"/>
    <x v="2"/>
    <x v="4"/>
    <x v="27"/>
    <s v="ACARREO"/>
    <s v="LUCHI GIL"/>
    <m/>
    <x v="6"/>
    <m/>
    <s v="24/25"/>
    <s v="BIENES Y SERVICIOS"/>
    <s v="EFECTIVO Y OTROS ACT LÍQ EQ."/>
  </r>
  <r>
    <x v="6"/>
    <d v="2025-07-08T00:00:00"/>
    <s v="TRANSF. MACRONLINE E-SET D/T"/>
    <m/>
    <n v="374597"/>
    <n v="0"/>
    <n v="-374597"/>
    <n v="4019465.68"/>
    <n v="1170"/>
    <n v="320.16837606837606"/>
    <n v="0"/>
    <s v="ARS"/>
    <s v="CC"/>
    <s v="MACRO"/>
    <x v="1"/>
    <x v="11"/>
    <x v="26"/>
    <m/>
    <s v="BECERRA ADRIAN"/>
    <m/>
    <x v="10"/>
    <m/>
    <s v="24/25"/>
    <s v="ACREEDORES A COBRAR"/>
    <s v="EFECTIVO Y OTROS ACT LÍQ EQ."/>
  </r>
  <r>
    <x v="6"/>
    <d v="2025-07-08T00:00:00"/>
    <s v="COMISION TRF. MACROL E-SET"/>
    <m/>
    <n v="121"/>
    <n v="0"/>
    <n v="-121"/>
    <n v="4019344.68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6"/>
    <d v="2025-07-08T00:00:00"/>
    <s v="TRANSF. MACRONLINE E-SET D/T"/>
    <m/>
    <n v="711914"/>
    <n v="0"/>
    <n v="-711914"/>
    <n v="3307430.68"/>
    <n v="1170"/>
    <n v="608.47350427350432"/>
    <n v="0"/>
    <s v="ARS"/>
    <s v="CC"/>
    <s v="MACRO"/>
    <x v="1"/>
    <x v="3"/>
    <x v="3"/>
    <s v="SUELDO JUNIO+SAC"/>
    <s v="KEVIN TOLEDO"/>
    <m/>
    <x v="3"/>
    <m/>
    <s v="24/25"/>
    <s v="EGRESOS"/>
    <s v="EFECTIVO Y OTROS ACT LÍQ EQ."/>
  </r>
  <r>
    <x v="6"/>
    <d v="2025-07-08T00:00:00"/>
    <s v="COMISION TRF. MACROL E-SET"/>
    <m/>
    <n v="121"/>
    <n v="0"/>
    <n v="-121"/>
    <n v="3307309.68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6"/>
    <d v="2025-07-08T00:00:00"/>
    <s v="TRANSF. MACRONLINE E-SET D/T"/>
    <m/>
    <n v="200000"/>
    <n v="0"/>
    <n v="-200000"/>
    <n v="3107309.68"/>
    <n v="1170"/>
    <n v="170.94017094017093"/>
    <n v="0"/>
    <s v="ARS"/>
    <s v="CC"/>
    <s v="MACRO"/>
    <x v="1"/>
    <x v="3"/>
    <x v="3"/>
    <s v="EXTRA"/>
    <s v="KEVIN TOLEDO"/>
    <m/>
    <x v="3"/>
    <m/>
    <s v="24/25"/>
    <s v="EGRESOS"/>
    <s v="EFECTIVO Y OTROS ACT LÍQ EQ."/>
  </r>
  <r>
    <x v="6"/>
    <d v="2025-07-08T00:00:00"/>
    <s v="DBCR 25413 S/DB TASA GRAL"/>
    <m/>
    <n v="14022.21"/>
    <n v="0"/>
    <n v="-14022.21"/>
    <n v="3093287.47"/>
    <n v="1170"/>
    <n v="11.984794871794872"/>
    <n v="0"/>
    <s v="ARS"/>
    <s v="CC"/>
    <s v="MACRO"/>
    <x v="1"/>
    <x v="7"/>
    <x v="9"/>
    <m/>
    <m/>
    <m/>
    <x v="1"/>
    <m/>
    <s v="24/25"/>
    <s v="EGRESOS"/>
    <s v="EFECTIVO Y OTROS ACT LÍQ EQ."/>
  </r>
  <r>
    <x v="6"/>
    <d v="2025-07-10T00:00:00"/>
    <s v="CHEQUE P/CAMARA"/>
    <s v="N57867833"/>
    <n v="1975446"/>
    <n v="0"/>
    <n v="-1975446"/>
    <n v="1117841.47"/>
    <n v="1170"/>
    <n v="1688.4153846153847"/>
    <n v="0"/>
    <s v="ARS"/>
    <s v="CC"/>
    <s v="MACRO"/>
    <x v="2"/>
    <x v="4"/>
    <x v="5"/>
    <s v="FLETES"/>
    <s v="BAQUE FACUNDO"/>
    <m/>
    <x v="6"/>
    <m/>
    <s v="24/25"/>
    <s v="BIENES Y SERVICIOS"/>
    <s v="EFECTIVO Y OTROS ACT LÍQ EQ."/>
  </r>
  <r>
    <x v="6"/>
    <d v="2025-07-10T00:00:00"/>
    <s v="TRANSF. MACRONLINE E-SET D/T"/>
    <m/>
    <n v="18745.22"/>
    <n v="1"/>
    <n v="-18744.22"/>
    <n v="1099096.25"/>
    <n v="1170"/>
    <n v="16.021555555555558"/>
    <n v="8.547008547008547E-4"/>
    <s v="ARS"/>
    <s v="CC"/>
    <s v="MACRO"/>
    <x v="3"/>
    <x v="14"/>
    <x v="35"/>
    <m/>
    <s v="ESPINAGRO"/>
    <s v="FA 1936"/>
    <x v="6"/>
    <m/>
    <s v="24/25"/>
    <s v="BIENES Y SERVICIOS"/>
    <s v="EFECTIVO Y OTROS ACT LÍQ EQ."/>
  </r>
  <r>
    <x v="6"/>
    <d v="2025-07-10T00:00:00"/>
    <s v="TRANSF. MACRONLINE E-SET D/T"/>
    <m/>
    <n v="350000"/>
    <n v="2"/>
    <n v="-349998"/>
    <n v="749096.25"/>
    <n v="1170"/>
    <n v="299.14529914529913"/>
    <n v="1.7094017094017094E-3"/>
    <s v="ARS"/>
    <s v="CC"/>
    <s v="MACRO"/>
    <x v="1"/>
    <x v="2"/>
    <x v="2"/>
    <s v="PARTE AGOSTO"/>
    <s v="CLAUDIA ERRECALDE"/>
    <m/>
    <x v="15"/>
    <s v="CLAUDIA"/>
    <s v="24/25"/>
    <s v="FUTURAS UT. ADL CLAUDIA"/>
    <s v="EFECTIVO Y OTROS ACT LÍQ EQ."/>
  </r>
  <r>
    <x v="6"/>
    <d v="2025-07-10T00:00:00"/>
    <s v="COMISION TRF. MACROL E-SET"/>
    <m/>
    <n v="121"/>
    <n v="3"/>
    <n v="-118"/>
    <n v="748975.25"/>
    <n v="1170"/>
    <n v="0.10341880341880341"/>
    <n v="2.5641025641025641E-3"/>
    <s v="ARS"/>
    <s v="CC"/>
    <s v="MACRO"/>
    <x v="1"/>
    <x v="7"/>
    <x v="9"/>
    <m/>
    <m/>
    <m/>
    <x v="1"/>
    <m/>
    <s v="24/25"/>
    <s v="EGRESOS"/>
    <s v="EFECTIVO Y OTROS ACT LÍQ EQ."/>
  </r>
  <r>
    <x v="6"/>
    <d v="2025-07-10T00:00:00"/>
    <s v="DBCR 25413 S/DB TASA GRAL"/>
    <m/>
    <n v="14065.88"/>
    <n v="4"/>
    <n v="-14061.88"/>
    <n v="734909.37"/>
    <n v="1170"/>
    <n v="12.022119658119657"/>
    <n v="3.4188034188034188E-3"/>
    <s v="ARS"/>
    <s v="CC"/>
    <s v="MACRO"/>
    <x v="1"/>
    <x v="1"/>
    <x v="1"/>
    <s v="TASA GRAL"/>
    <m/>
    <m/>
    <x v="1"/>
    <m/>
    <s v="24/25"/>
    <s v="EGRESOS"/>
    <s v="EFECTIVO Y OTROS ACT LÍQ EQ."/>
  </r>
  <r>
    <x v="6"/>
    <d v="2025-07-14T00:00:00"/>
    <s v="CHEQUE P/CAMARA"/>
    <s v="N57867834"/>
    <n v="1000000"/>
    <n v="0"/>
    <n v="-1000000"/>
    <n v="-265090.63"/>
    <n v="1170"/>
    <n v="854.70085470085473"/>
    <n v="0"/>
    <s v="ARS"/>
    <s v="CC"/>
    <s v="MACRO"/>
    <x v="3"/>
    <x v="5"/>
    <x v="30"/>
    <m/>
    <s v="MERLO"/>
    <m/>
    <x v="6"/>
    <m/>
    <s v="24/25"/>
    <s v="BIENES Y SERVICIOS"/>
    <s v="EFECTIVO Y OTROS ACT LÍQ EQ."/>
  </r>
  <r>
    <x v="6"/>
    <d v="2025-07-14T00:00:00"/>
    <s v="CHEQUE P/CAMARA"/>
    <s v="N59296422"/>
    <n v="1600622.81"/>
    <n v="0"/>
    <n v="-1600622.81"/>
    <n v="-1865713.44"/>
    <n v="1170"/>
    <n v="1368.0536837606837"/>
    <n v="0"/>
    <s v="ARS"/>
    <s v="CC"/>
    <s v="MACRO"/>
    <x v="2"/>
    <x v="4"/>
    <x v="5"/>
    <s v="INSUMOS "/>
    <s v="AGRONASAJA"/>
    <m/>
    <x v="6"/>
    <m/>
    <s v="24/25"/>
    <s v="INSUMOS 2025"/>
    <s v="EFECTIVO Y OTROS ACT LÍQ EQ."/>
  </r>
  <r>
    <x v="6"/>
    <d v="2025-07-14T00:00:00"/>
    <s v="TEF DATANET PR SWIFT ARGENTINA SA 30560378056"/>
    <m/>
    <n v="0"/>
    <n v="61087561.5"/>
    <n v="61087561.5"/>
    <n v="59221848"/>
    <n v="1170"/>
    <n v="0"/>
    <n v="52211.591025641028"/>
    <s v="ARS"/>
    <s v="CC"/>
    <s v="MACRO"/>
    <x v="5"/>
    <x v="21"/>
    <x v="62"/>
    <s v="VENTA 22/06/2025"/>
    <s v="SWIFT"/>
    <s v="N° Liq: 24611"/>
    <x v="21"/>
    <m/>
    <s v="24/25"/>
    <s v="EFECTIVO Y OTROS ACT LÍQ EQ."/>
    <s v="INGRESOS"/>
  </r>
  <r>
    <x v="6"/>
    <d v="2025-07-14T00:00:00"/>
    <s v="TEF DATANET PR UNICER SAS 30715839888"/>
    <m/>
    <n v="0"/>
    <n v="1050388.3899999999"/>
    <n v="1050388.3899999999"/>
    <n v="60272236.450000003"/>
    <n v="1170"/>
    <n v="0"/>
    <n v="897.76785470085463"/>
    <s v="ARS"/>
    <s v="CC"/>
    <s v="MACRO"/>
    <x v="2"/>
    <x v="4"/>
    <x v="5"/>
    <s v="IVA RG 2300/2007"/>
    <s v="LEIVA HNOS"/>
    <m/>
    <x v="14"/>
    <m/>
    <s v="24/25"/>
    <s v="EFECTIVO Y OTROS ACT LÍQ EQ."/>
    <s v="INGRESOS"/>
  </r>
  <r>
    <x v="6"/>
    <d v="2025-07-14T00:00:00"/>
    <s v="DBCR 25413 S/CR TASA GRAL"/>
    <m/>
    <n v="372827.7"/>
    <n v="0"/>
    <n v="-372827.7"/>
    <n v="59899408.75"/>
    <n v="1170"/>
    <n v="318.65615384615387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6"/>
    <d v="2025-07-14T00:00:00"/>
    <s v="DBCR 25413 S/DB TASA GRAL"/>
    <m/>
    <n v="15603.74"/>
    <n v="0"/>
    <n v="-15603.74"/>
    <n v="59883805.009999998"/>
    <n v="1170"/>
    <n v="13.336529914529914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6"/>
    <d v="2025-07-15T00:00:00"/>
    <s v="CHEQUE P/CAMARA"/>
    <s v="N58150511"/>
    <n v="1086667"/>
    <n v="0"/>
    <n v="-1086667"/>
    <n v="58797138.009999998"/>
    <n v="1170"/>
    <n v="928.77521367521365"/>
    <n v="0"/>
    <s v="ARS"/>
    <s v="CC"/>
    <s v="MACRO"/>
    <x v="5"/>
    <x v="13"/>
    <x v="38"/>
    <s v="PAGO A AMETSEN CON GOMAS"/>
    <s v="FACUNDO DE DIOS "/>
    <m/>
    <x v="6"/>
    <m/>
    <s v="24/25"/>
    <s v="BIENES Y SERVICIOS"/>
    <s v="EFECTIVO Y OTROS ACT LÍQ EQ."/>
  </r>
  <r>
    <x v="6"/>
    <d v="2025-07-15T00:00:00"/>
    <s v="TRANSF. MACRONLINE E-SET M/T"/>
    <m/>
    <n v="25000000"/>
    <n v="0"/>
    <n v="-25000000"/>
    <n v="33797138.009999998"/>
    <n v="1170"/>
    <n v="21367.521367521367"/>
    <n v="0"/>
    <s v="ARS"/>
    <s v="CC"/>
    <s v="MACRO"/>
    <x v="0"/>
    <x v="0"/>
    <x v="0"/>
    <s v="HACIA CC GALICIA"/>
    <m/>
    <m/>
    <x v="0"/>
    <m/>
    <s v="24/25"/>
    <m/>
    <m/>
  </r>
  <r>
    <x v="6"/>
    <d v="2025-07-15T00:00:00"/>
    <s v="COMISION TRF. MACROL E-SET"/>
    <m/>
    <n v="121"/>
    <n v="0"/>
    <n v="-121"/>
    <n v="33797017.009999998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6"/>
    <d v="2025-07-15T00:00:00"/>
    <s v="TRF MO CCDO DIST T - 30708920882"/>
    <m/>
    <n v="18000"/>
    <n v="0"/>
    <n v="-18000"/>
    <n v="33779017.009999998"/>
    <n v="1170"/>
    <n v="15.384615384615385"/>
    <n v="0"/>
    <s v="ARS"/>
    <s v="CC"/>
    <s v="MACRO"/>
    <x v="2"/>
    <x v="4"/>
    <x v="64"/>
    <s v="CONTRATO ALQUILER"/>
    <m/>
    <m/>
    <x v="1"/>
    <m/>
    <s v="24/25"/>
    <s v="EGRESOS"/>
    <s v="EFECTIVO Y OTROS ACT LÍQ EQ."/>
  </r>
  <r>
    <x v="6"/>
    <d v="2025-07-15T00:00:00"/>
    <s v="TRANSF. MACRONLINE E-SET D/T"/>
    <m/>
    <n v="3000"/>
    <n v="0"/>
    <n v="-3000"/>
    <n v="33776017.009999998"/>
    <n v="1170"/>
    <n v="2.5641025641025643"/>
    <n v="0"/>
    <s v="ARS"/>
    <s v="CC"/>
    <s v="MACRO"/>
    <x v="3"/>
    <x v="5"/>
    <x v="24"/>
    <s v="AFILADO DE CADENA"/>
    <s v="BENITEZ"/>
    <m/>
    <x v="6"/>
    <m/>
    <s v="24/25"/>
    <s v="BIENES Y SERVICIOS"/>
    <s v="EFECTIVO Y OTROS ACT LÍQ EQ."/>
  </r>
  <r>
    <x v="6"/>
    <d v="2025-07-15T00:00:00"/>
    <s v="TRANSF. MACRONLINE E-SET D/T"/>
    <m/>
    <n v="16200"/>
    <n v="0"/>
    <n v="-16200"/>
    <n v="33759817.009999998"/>
    <n v="1170"/>
    <n v="13.846153846153847"/>
    <n v="0"/>
    <s v="ARS"/>
    <s v="CC"/>
    <s v="MACRO"/>
    <x v="3"/>
    <x v="5"/>
    <x v="6"/>
    <s v="PINTURAS"/>
    <s v="ARIEL RODRIGUEZ"/>
    <m/>
    <x v="6"/>
    <m/>
    <s v="24/25"/>
    <s v="BIENES Y SERVICIOS"/>
    <s v="EFECTIVO Y OTROS ACT LÍQ EQ."/>
  </r>
  <r>
    <x v="6"/>
    <d v="2025-07-15T00:00:00"/>
    <s v="TRANSF. MACRONLINE E-SET D/T"/>
    <m/>
    <n v="96930"/>
    <n v="0"/>
    <n v="-96930"/>
    <n v="33662887.009999998"/>
    <n v="1170"/>
    <n v="82.84615384615384"/>
    <n v="0"/>
    <s v="ARS"/>
    <s v="CC"/>
    <s v="MACRO"/>
    <x v="3"/>
    <x v="5"/>
    <x v="65"/>
    <s v="ROPA PERSONAL"/>
    <s v="PAMPERO"/>
    <m/>
    <x v="6"/>
    <m/>
    <s v="24/25"/>
    <s v="BIENES Y SERVICIOS"/>
    <s v="EFECTIVO Y OTROS ACT LÍQ EQ."/>
  </r>
  <r>
    <x v="6"/>
    <d v="2025-07-15T00:00:00"/>
    <s v="TRANSF. MACRONLINE E-SET D/T"/>
    <m/>
    <n v="52519.98"/>
    <n v="0"/>
    <n v="-52519.98"/>
    <n v="33610367.030000001"/>
    <n v="1170"/>
    <n v="44.888871794871797"/>
    <n v="0"/>
    <s v="ARS"/>
    <s v="CC"/>
    <s v="MACRO"/>
    <x v="3"/>
    <x v="5"/>
    <x v="6"/>
    <m/>
    <s v="AGRICOLA CENTENO"/>
    <m/>
    <x v="6"/>
    <m/>
    <s v="24/25"/>
    <s v="BIENES Y SERVICIOS"/>
    <s v="EFECTIVO Y OTROS ACT LÍQ EQ."/>
  </r>
  <r>
    <x v="6"/>
    <d v="2025-07-15T00:00:00"/>
    <s v="DBCR 25413 S/DB TASA GRAL"/>
    <m/>
    <n v="7640.63"/>
    <n v="0"/>
    <n v="-7640.63"/>
    <n v="33602726.399999999"/>
    <n v="1170"/>
    <n v="6.5304529914529912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6"/>
    <d v="2025-07-16T00:00:00"/>
    <s v="CHEQUE P/CAMARA"/>
    <s v="N57867828"/>
    <n v="4200000"/>
    <n v="0"/>
    <n v="-4200000"/>
    <n v="29402726.399999999"/>
    <n v="1170"/>
    <n v="3589.7435897435898"/>
    <n v="0"/>
    <s v="ARS"/>
    <s v="CC"/>
    <s v="MACRO"/>
    <x v="2"/>
    <x v="4"/>
    <x v="5"/>
    <s v="COSECHA 114 HAS"/>
    <s v="LUCARELLI AGUSTIN"/>
    <m/>
    <x v="6"/>
    <m/>
    <s v="24/25"/>
    <s v="BIENES Y SERVICIOS"/>
    <s v="EFECTIVO Y OTROS ACT LÍQ EQ."/>
  </r>
  <r>
    <x v="6"/>
    <d v="2025-07-16T00:00:00"/>
    <s v="CHEQUE P/CAMARA"/>
    <s v="N59345389"/>
    <n v="5807565"/>
    <n v="0"/>
    <n v="-5807565"/>
    <n v="23595161.399999999"/>
    <n v="1170"/>
    <n v="4963.7307692307695"/>
    <n v="0"/>
    <s v="ARS"/>
    <s v="CC"/>
    <s v="MACRO"/>
    <x v="5"/>
    <x v="13"/>
    <x v="66"/>
    <s v="NUTRIMAX"/>
    <s v="ACA"/>
    <m/>
    <x v="6"/>
    <m/>
    <s v="24/25"/>
    <s v="INSUMOS 2025"/>
    <s v="EFECTIVO Y OTROS ACT LÍQ EQ."/>
  </r>
  <r>
    <x v="6"/>
    <d v="2025-07-16T00:00:00"/>
    <s v="TRANSF. MACRONLINE E-SET D/T"/>
    <m/>
    <n v="311050"/>
    <n v="0"/>
    <n v="-311050"/>
    <n v="23284111.399999999"/>
    <n v="1170"/>
    <n v="265.85470085470087"/>
    <n v="0"/>
    <s v="ARS"/>
    <s v="CC"/>
    <s v="MACRO"/>
    <x v="1"/>
    <x v="11"/>
    <x v="26"/>
    <m/>
    <s v="BECERRA ADRIAN"/>
    <m/>
    <x v="10"/>
    <m/>
    <s v="24/25"/>
    <s v="ACREEDORES A COBRAR"/>
    <s v="EFECTIVO Y OTROS ACT LÍQ EQ."/>
  </r>
  <r>
    <x v="6"/>
    <d v="2025-07-16T00:00:00"/>
    <s v="COMISION TRF. MACROL E-SET"/>
    <m/>
    <n v="121"/>
    <n v="0"/>
    <n v="-121"/>
    <n v="23283990.399999999"/>
    <n v="1170"/>
    <n v="0.10341880341880341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6"/>
    <d v="2025-07-16T00:00:00"/>
    <s v="TRANSF LEIVA HER 30710771576 VAR VARIOS"/>
    <m/>
    <n v="0"/>
    <n v="28022219.68"/>
    <n v="28022219.68"/>
    <n v="51306210.079999998"/>
    <n v="1170"/>
    <n v="0"/>
    <n v="23950.61511111111"/>
    <s v="ARS"/>
    <s v="CC"/>
    <s v="MACRO"/>
    <x v="2"/>
    <x v="4"/>
    <x v="5"/>
    <s v="VENTA"/>
    <s v="LEIVA HNOS"/>
    <m/>
    <x v="14"/>
    <m/>
    <s v="24/25"/>
    <s v="EFECTIVO Y OTROS ACT LÍQ EQ."/>
    <s v="INGRESOS"/>
  </r>
  <r>
    <x v="6"/>
    <d v="2025-07-16T00:00:00"/>
    <s v="TEF DATANET PR SWIFT ARGENTINA SA 30560378056"/>
    <m/>
    <n v="0"/>
    <n v="63031230.5"/>
    <n v="63031230.5"/>
    <n v="114337440.58"/>
    <n v="1170"/>
    <n v="0"/>
    <n v="53872.84658119658"/>
    <s v="ARS"/>
    <s v="CC"/>
    <s v="MACRO"/>
    <x v="5"/>
    <x v="21"/>
    <x v="51"/>
    <s v="VENTA 24/06/2025"/>
    <s v="SWIFT"/>
    <s v="N° Liq: 24626"/>
    <x v="21"/>
    <m/>
    <s v="24/25"/>
    <s v="EFECTIVO Y OTROS ACT LÍQ EQ."/>
    <s v="INGRESOS"/>
  </r>
  <r>
    <x v="6"/>
    <d v="2025-07-16T00:00:00"/>
    <s v="DBCR 25413 S/CR TASA GRAL"/>
    <m/>
    <n v="546320.69999999995"/>
    <n v="0"/>
    <n v="-546320.69999999995"/>
    <n v="113791119.88"/>
    <n v="1170"/>
    <n v="466.94076923076921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6"/>
    <d v="2025-07-16T00:00:00"/>
    <s v="DBCR 25413 S/DB TASA GRAL"/>
    <m/>
    <n v="61912.42"/>
    <n v="0"/>
    <n v="-61912.42"/>
    <n v="113729207.45999999"/>
    <n v="1170"/>
    <n v="52.916598290598287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6"/>
    <d v="2025-07-17T00:00:00"/>
    <s v="CHEQUE CANJE INTERNO"/>
    <s v="N57867831"/>
    <n v="440000"/>
    <n v="0"/>
    <n v="-440000"/>
    <n v="113289207.45999999"/>
    <n v="1170"/>
    <n v="376.0683760683761"/>
    <n v="0"/>
    <s v="ARS"/>
    <s v="CC"/>
    <s v="MACRO"/>
    <x v="5"/>
    <x v="13"/>
    <x v="4"/>
    <s v="HONORARIOS"/>
    <s v="FEDE PICCIOCHI"/>
    <s v="FA346"/>
    <x v="6"/>
    <m/>
    <s v="24/25"/>
    <s v="BIENES Y SERVICIOS"/>
    <s v="EFECTIVO Y OTROS ACT LÍQ EQ."/>
  </r>
  <r>
    <x v="6"/>
    <d v="2025-07-17T00:00:00"/>
    <s v="TRANSF. MACRONLINE E-SET D/T"/>
    <m/>
    <n v="4784051.95"/>
    <n v="0"/>
    <n v="-4784051.95"/>
    <n v="108505155.51000001"/>
    <n v="1170"/>
    <n v="4088.9332905982906"/>
    <n v="0"/>
    <s v="ARS"/>
    <s v="CC"/>
    <s v="MACRO"/>
    <x v="2"/>
    <x v="4"/>
    <x v="5"/>
    <s v="INSUMOS "/>
    <s v="LOS GROBO"/>
    <m/>
    <x v="6"/>
    <m/>
    <s v="24/25"/>
    <s v="INSUMOS 2025"/>
    <s v="EFECTIVO Y OTROS ACT LÍQ EQ."/>
  </r>
  <r>
    <x v="6"/>
    <d v="2025-07-17T00:00:00"/>
    <s v="COMISION TRF. MACROL E-SET"/>
    <m/>
    <n v="121"/>
    <n v="0"/>
    <n v="-121"/>
    <n v="108505034.51000001"/>
    <n v="1170"/>
    <n v="0.10341880341880341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6"/>
    <d v="2025-07-17T00:00:00"/>
    <s v="TRANSF. MACRONLINE E-SET D/T"/>
    <m/>
    <n v="1000000"/>
    <n v="0"/>
    <n v="-1000000"/>
    <n v="107505034.51000001"/>
    <n v="1170"/>
    <n v="854.70085470085473"/>
    <n v="0"/>
    <s v="ARS"/>
    <s v="CC"/>
    <s v="MACRO"/>
    <x v="1"/>
    <x v="2"/>
    <x v="2"/>
    <s v="HONORARIOS"/>
    <s v="RAUL"/>
    <m/>
    <x v="2"/>
    <s v="RAUL"/>
    <s v="24/25"/>
    <s v="FUTURAS UT. ADL RAUL"/>
    <s v="EFECTIVO Y OTROS ACT LÍQ EQ."/>
  </r>
  <r>
    <x v="6"/>
    <d v="2025-07-17T00:00:00"/>
    <s v="COMISION TRF. MACROL E-SET"/>
    <m/>
    <n v="121"/>
    <n v="0"/>
    <n v="-121"/>
    <n v="107504913.51000001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6"/>
    <d v="2025-07-17T00:00:00"/>
    <s v="TRANSF. MACRONLINE E-SET D/T"/>
    <m/>
    <n v="1000000"/>
    <n v="0"/>
    <n v="-1000000"/>
    <n v="106504913.51000001"/>
    <n v="1170"/>
    <n v="854.70085470085473"/>
    <n v="0"/>
    <s v="ARS"/>
    <s v="CC"/>
    <s v="MACRO"/>
    <x v="1"/>
    <x v="2"/>
    <x v="23"/>
    <s v="PERIODO MAYO 25"/>
    <s v="MONICA ERRECALDE"/>
    <m/>
    <x v="13"/>
    <s v="MONICA"/>
    <s v="24/25"/>
    <s v="FUTURAS UT. ADL MONICA"/>
    <s v="EFECTIVO Y OTROS ACT LÍQ EQ."/>
  </r>
  <r>
    <x v="6"/>
    <d v="2025-07-17T00:00:00"/>
    <s v="COMISION TRF. MACROL E-SET"/>
    <m/>
    <n v="121"/>
    <n v="0"/>
    <n v="-121"/>
    <n v="106504792.51000001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6"/>
    <d v="2025-07-17T00:00:00"/>
    <s v="TRF MO CCDO DIST T - 30708920882"/>
    <m/>
    <n v="1000000"/>
    <n v="0"/>
    <n v="-1000000"/>
    <n v="105504792.51000001"/>
    <n v="1170"/>
    <n v="854.70085470085473"/>
    <n v="0"/>
    <s v="ARS"/>
    <s v="CC"/>
    <s v="MACRO"/>
    <x v="1"/>
    <x v="20"/>
    <x v="49"/>
    <m/>
    <s v="FABIANA VICENTIN"/>
    <m/>
    <x v="1"/>
    <m/>
    <s v="24/25"/>
    <s v="EGRESOS"/>
    <s v="EFECTIVO Y OTROS ACT LÍQ EQ."/>
  </r>
  <r>
    <x v="6"/>
    <d v="2025-07-17T00:00:00"/>
    <s v="COMISION TRANSFERE"/>
    <m/>
    <n v="121"/>
    <n v="0"/>
    <n v="-121"/>
    <n v="105504671.51000001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6"/>
    <d v="2025-07-17T00:00:00"/>
    <s v="DB.CEXT YCBIOS.GRAV.L25413 SUC.:811"/>
    <m/>
    <n v="39491465.219999999"/>
    <n v="0"/>
    <n v="-39491465.219999999"/>
    <n v="66013206.289999999"/>
    <n v="1170"/>
    <n v="33753.389076923078"/>
    <n v="0"/>
    <s v="ARS"/>
    <s v="CC"/>
    <s v="MACRO"/>
    <x v="0"/>
    <x v="12"/>
    <x v="67"/>
    <s v="PRESTAMOS 30 MIL USD"/>
    <s v="BANCO MACRO"/>
    <m/>
    <x v="23"/>
    <m/>
    <s v="24/25"/>
    <s v="AMORT. CREDITOS GAL"/>
    <s v="EFECTIVO Y OTROS ACT LÍQ EQ."/>
  </r>
  <r>
    <x v="6"/>
    <d v="2025-07-17T00:00:00"/>
    <s v="DBCR 25413 S/DB TASA GRAL"/>
    <m/>
    <n v="286296.02"/>
    <n v="0"/>
    <n v="-286296.02"/>
    <n v="65726910.270000003"/>
    <n v="1170"/>
    <n v="244.69745299145302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6"/>
    <d v="2025-07-18T00:00:00"/>
    <s v="TRANSF. MACRONLINE E-SET D/T"/>
    <m/>
    <n v="2000000"/>
    <n v="0"/>
    <n v="-2000000"/>
    <n v="63726910.270000003"/>
    <n v="1170"/>
    <n v="1709.4017094017095"/>
    <n v="0"/>
    <s v="ARS"/>
    <s v="CC"/>
    <s v="MACRO"/>
    <x v="1"/>
    <x v="11"/>
    <x v="54"/>
    <m/>
    <s v="BECERRA ADRIAN"/>
    <m/>
    <x v="10"/>
    <m/>
    <s v="24/25"/>
    <s v="ACREEDORES A COBRAR"/>
    <s v="EFECTIVO Y OTROS ACT LÍQ EQ."/>
  </r>
  <r>
    <x v="6"/>
    <d v="2025-07-18T00:00:00"/>
    <s v="COMISION TRF. MACROL E-SET"/>
    <m/>
    <n v="121"/>
    <n v="0"/>
    <n v="-121"/>
    <n v="63726789.270000003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6"/>
    <d v="2025-07-18T00:00:00"/>
    <s v="DBCR 25413 S/DB TASA GRAL"/>
    <m/>
    <n v="12000.73"/>
    <n v="0"/>
    <n v="-12000.73"/>
    <n v="63714788.539999999"/>
    <n v="1170"/>
    <n v="10.257034188034188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6"/>
    <d v="2025-07-18T00:00:00"/>
    <s v="DB TR..AUT.SDO.MISMO TIT."/>
    <m/>
    <n v="1296573.06"/>
    <n v="0"/>
    <n v="-1296573.06"/>
    <n v="62418215.479999997"/>
    <n v="1170"/>
    <n v="1108.1821025641027"/>
    <n v="0"/>
    <s v="ARS"/>
    <s v="CC"/>
    <s v="MACRO"/>
    <x v="0"/>
    <x v="0"/>
    <x v="0"/>
    <s v="DESDE CC MACRO"/>
    <m/>
    <m/>
    <x v="0"/>
    <m/>
    <s v="24/25"/>
    <m/>
    <m/>
  </r>
  <r>
    <x v="6"/>
    <d v="2025-07-21T00:00:00"/>
    <s v="SANCORSEG - SANCOR SEGUROS"/>
    <m/>
    <n v="8067"/>
    <n v="0"/>
    <n v="-8067"/>
    <n v="62410148.479999997"/>
    <n v="1170"/>
    <n v="6.8948717948717952"/>
    <n v="0"/>
    <s v="ARS"/>
    <s v="CC"/>
    <s v="MACRO"/>
    <x v="1"/>
    <x v="7"/>
    <x v="47"/>
    <m/>
    <m/>
    <m/>
    <x v="1"/>
    <m/>
    <s v="24/25"/>
    <s v="EGRESOS"/>
    <s v="EFECTIVO Y OTROS ACT LÍQ EQ."/>
  </r>
  <r>
    <x v="6"/>
    <d v="2025-07-21T00:00:00"/>
    <s v="DBCR 25413 S/DB TASA GRAL"/>
    <m/>
    <n v="48.4"/>
    <n v="0"/>
    <n v="-48.4"/>
    <n v="62410100.079999998"/>
    <n v="1170"/>
    <n v="4.1367521367521365E-2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6"/>
    <d v="2025-07-22T00:00:00"/>
    <s v="CHEQUE P/CAMARA"/>
    <s v="N57572177"/>
    <n v="357951.31"/>
    <n v="0"/>
    <n v="-357951.31"/>
    <n v="62052148.770000003"/>
    <n v="1170"/>
    <n v="305.94129059829061"/>
    <n v="0"/>
    <s v="ARS"/>
    <s v="CC"/>
    <s v="MACRO"/>
    <x v="3"/>
    <x v="14"/>
    <x v="35"/>
    <s v="GOMAS"/>
    <s v="ALTAMIRANO "/>
    <s v="FA9152"/>
    <x v="6"/>
    <m/>
    <s v="24/25"/>
    <s v="BIENES Y SERVICIOS"/>
    <s v="EFECTIVO Y OTROS ACT LÍQ EQ."/>
  </r>
  <r>
    <x v="6"/>
    <d v="2025-07-22T00:00:00"/>
    <s v="CHEQUE P/CAMARA"/>
    <s v="N57867841"/>
    <n v="2600000"/>
    <n v="0"/>
    <n v="-2600000"/>
    <n v="59452148.770000003"/>
    <n v="1170"/>
    <n v="2222.2222222222222"/>
    <n v="0"/>
    <s v="ARS"/>
    <s v="CC"/>
    <s v="MACRO"/>
    <x v="5"/>
    <x v="13"/>
    <x v="38"/>
    <m/>
    <s v="FERRERE AGUTIN"/>
    <s v="FA2991"/>
    <x v="6"/>
    <m/>
    <s v="24/25"/>
    <s v="BIENES Y SERVICIOS"/>
    <s v="EFECTIVO Y OTROS ACT LÍQ EQ."/>
  </r>
  <r>
    <x v="6"/>
    <d v="2025-07-22T00:00:00"/>
    <s v="CHEQUE P/CAMARA"/>
    <s v="N59108400"/>
    <n v="685009"/>
    <n v="0"/>
    <n v="-685009"/>
    <n v="58767139.770000003"/>
    <n v="1170"/>
    <n v="585.47777777777776"/>
    <n v="0"/>
    <s v="ARS"/>
    <s v="CC"/>
    <s v="MACRO"/>
    <x v="5"/>
    <x v="13"/>
    <x v="38"/>
    <m/>
    <s v="FACUNDO DE DIOS "/>
    <m/>
    <x v="6"/>
    <m/>
    <s v="24/25"/>
    <s v="BIENES Y SERVICIOS"/>
    <s v="EFECTIVO Y OTROS ACT LÍQ EQ."/>
  </r>
  <r>
    <x v="6"/>
    <d v="2025-07-22T00:00:00"/>
    <s v="TRANSF. MACRONLINE E-SET D/T"/>
    <m/>
    <n v="25002223.5"/>
    <n v="0"/>
    <n v="-25002223.5"/>
    <n v="33764916.270000003"/>
    <n v="1170"/>
    <n v="21369.421794871796"/>
    <n v="0"/>
    <s v="ARS"/>
    <s v="CC"/>
    <s v="MACRO"/>
    <x v="5"/>
    <x v="17"/>
    <x v="68"/>
    <m/>
    <s v="COLOMBO&amp;COLOMBO"/>
    <m/>
    <x v="18"/>
    <m/>
    <s v="24/25"/>
    <s v="EGRESOS"/>
    <s v="EFECTIVO Y OTROS ACT LÍQ EQ."/>
  </r>
  <r>
    <x v="6"/>
    <d v="2025-07-22T00:00:00"/>
    <s v="COMISION TRF. MACROL E-SET"/>
    <m/>
    <n v="121"/>
    <n v="0"/>
    <n v="-121"/>
    <n v="33764795.270000003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6"/>
    <d v="2025-07-22T00:00:00"/>
    <s v="TRANSF. MACRONLINE E-SET D/T"/>
    <m/>
    <n v="140000"/>
    <n v="0"/>
    <n v="-140000"/>
    <n v="33624795.270000003"/>
    <n v="1170"/>
    <n v="119.65811965811966"/>
    <n v="0"/>
    <s v="ARS"/>
    <s v="CC"/>
    <s v="MACRO"/>
    <x v="2"/>
    <x v="4"/>
    <x v="5"/>
    <s v="FLETES"/>
    <s v="CLERICI JUAN PABLO"/>
    <m/>
    <x v="5"/>
    <m/>
    <s v="24/25"/>
    <s v="BIENES Y SERVICIOS"/>
    <s v="EFECTIVO Y OTROS ACT LÍQ EQ."/>
  </r>
  <r>
    <x v="6"/>
    <d v="2025-07-22T00:00:00"/>
    <s v="DBCR 25413 S/DB TASA GRAL"/>
    <m/>
    <n v="172711.83"/>
    <n v="0"/>
    <n v="-172711.83"/>
    <n v="33452083.440000001"/>
    <n v="1170"/>
    <n v="147.6169487179487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6"/>
    <d v="2025-07-23T00:00:00"/>
    <s v="CHEQUE P/CAMARA"/>
    <s v="N53810375"/>
    <n v="8401937.5"/>
    <n v="0"/>
    <n v="-8401937.5"/>
    <n v="25050145.940000001"/>
    <n v="1170"/>
    <n v="7181.1431623931621"/>
    <n v="0"/>
    <s v="ARS"/>
    <s v="CC"/>
    <s v="MACRO"/>
    <x v="2"/>
    <x v="4"/>
    <x v="27"/>
    <s v="COSECHA "/>
    <s v="ALTINA JOSE"/>
    <s v="FA 176"/>
    <x v="6"/>
    <m/>
    <s v="24/25"/>
    <s v="BIENES Y SERVICIOS"/>
    <s v="EFECTIVO Y OTROS ACT LÍQ EQ."/>
  </r>
  <r>
    <x v="6"/>
    <d v="2025-07-23T00:00:00"/>
    <s v="TRANSF. MACRONLINE E-SET M/T"/>
    <m/>
    <n v="4100000"/>
    <n v="0"/>
    <n v="-4100000"/>
    <n v="20950145.940000001"/>
    <n v="1170"/>
    <n v="3504.2735042735044"/>
    <n v="0"/>
    <s v="ARS"/>
    <s v="CC"/>
    <s v="MACRO"/>
    <x v="0"/>
    <x v="0"/>
    <x v="0"/>
    <s v="HACIA CC GALICIA"/>
    <m/>
    <m/>
    <x v="0"/>
    <m/>
    <s v="24/25"/>
    <m/>
    <m/>
  </r>
  <r>
    <x v="6"/>
    <d v="2025-07-23T00:00:00"/>
    <s v="COMISION TRF. MACROL E-SET"/>
    <m/>
    <n v="121"/>
    <n v="0"/>
    <n v="-121"/>
    <n v="20950024.940000001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6"/>
    <d v="2025-07-23T00:00:00"/>
    <s v="TRANSF. MACRONLINE E-SET D/T"/>
    <m/>
    <n v="650000"/>
    <n v="0"/>
    <n v="-650000"/>
    <n v="20300024.940000001"/>
    <n v="1170"/>
    <n v="555.55555555555554"/>
    <n v="0"/>
    <s v="ARS"/>
    <s v="CC"/>
    <s v="MACRO"/>
    <x v="1"/>
    <x v="2"/>
    <x v="2"/>
    <s v="PARTE AGOSTO"/>
    <s v="CLAUDIA ERRECALDE"/>
    <m/>
    <x v="15"/>
    <s v="CLAUDIA"/>
    <s v="24/25"/>
    <s v="FUTURAS UT. ADL CLAUDIA"/>
    <s v="EFECTIVO Y OTROS ACT LÍQ EQ."/>
  </r>
  <r>
    <x v="6"/>
    <d v="2025-07-23T00:00:00"/>
    <s v="COMISION TRF. MACROL E-SET"/>
    <m/>
    <n v="121"/>
    <n v="0"/>
    <n v="-121"/>
    <n v="20299903.940000001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6"/>
    <d v="2025-07-23T00:00:00"/>
    <s v="TRANSF. MACRONLINE E-SET D/T"/>
    <m/>
    <n v="2000000"/>
    <n v="0"/>
    <n v="-2000000"/>
    <n v="18299903.940000001"/>
    <n v="1170"/>
    <n v="1709.4017094017095"/>
    <n v="0"/>
    <s v="ARS"/>
    <s v="CC"/>
    <s v="MACRO"/>
    <x v="1"/>
    <x v="2"/>
    <x v="2"/>
    <s v="HONORARIOS"/>
    <s v="RAUL"/>
    <m/>
    <x v="2"/>
    <s v="RAUL"/>
    <s v="24/25"/>
    <s v="FUTURAS UT. ADL RAUL"/>
    <s v="EFECTIVO Y OTROS ACT LÍQ EQ."/>
  </r>
  <r>
    <x v="6"/>
    <d v="2025-07-23T00:00:00"/>
    <s v="COMISION TRF. MACROL E-SET"/>
    <m/>
    <n v="121"/>
    <n v="0"/>
    <n v="-121"/>
    <n v="18299782.940000001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6"/>
    <d v="2025-07-23T00:00:00"/>
    <s v="DBCR 25413 S/DB TASA GRAL"/>
    <m/>
    <n v="66313.820000000007"/>
    <n v="0"/>
    <n v="-66313.820000000007"/>
    <n v="18233469.120000001"/>
    <n v="1170"/>
    <n v="56.678478632478637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6"/>
    <d v="2025-07-24T00:00:00"/>
    <s v="CHEQUE P/CAMARA"/>
    <s v="N57867837"/>
    <n v="500000"/>
    <n v="0"/>
    <n v="-500000"/>
    <n v="17733469.120000001"/>
    <n v="1170"/>
    <n v="427.35042735042737"/>
    <n v="0"/>
    <s v="ARS"/>
    <s v="CC"/>
    <s v="MACRO"/>
    <x v="5"/>
    <x v="13"/>
    <x v="38"/>
    <s v="HACIENDA"/>
    <s v="FACUNDO DE DIOS "/>
    <m/>
    <x v="6"/>
    <m/>
    <s v="24/25"/>
    <s v="BIENES Y SERVICIOS"/>
    <s v="EFECTIVO Y OTROS ACT LÍQ EQ."/>
  </r>
  <r>
    <x v="6"/>
    <d v="2025-07-24T00:00:00"/>
    <s v="CHEQUE P/CAMARA"/>
    <s v="N59110321"/>
    <n v="402220"/>
    <n v="0"/>
    <n v="-402220"/>
    <n v="17331249.120000001"/>
    <n v="1170"/>
    <n v="343.77777777777777"/>
    <n v="0"/>
    <s v="ARS"/>
    <s v="CC"/>
    <s v="MACRO"/>
    <x v="3"/>
    <x v="5"/>
    <x v="7"/>
    <s v="ELECT CASA"/>
    <s v="COOPERATIVA ELC"/>
    <m/>
    <x v="6"/>
    <m/>
    <s v="24/25"/>
    <s v="EGRESOS"/>
    <s v="EFECTIVO Y OTROS ACT LÍQ EQ."/>
  </r>
  <r>
    <x v="6"/>
    <d v="2025-07-24T00:00:00"/>
    <s v="10 Liq.Susc 871158 324771"/>
    <m/>
    <n v="17000000"/>
    <n v="0"/>
    <n v="-17000000"/>
    <n v="331249.12"/>
    <n v="1170"/>
    <n v="14529.914529914529"/>
    <n v="0"/>
    <s v="ARS"/>
    <s v="CC"/>
    <s v="MACRO"/>
    <x v="0"/>
    <x v="23"/>
    <x v="56"/>
    <s v="FCI MONEY MARKET"/>
    <s v="BANCO MACRO"/>
    <m/>
    <x v="22"/>
    <m/>
    <s v="24/25"/>
    <s v="INVERSIONES"/>
    <s v="EFECTIVO Y OTROS ACT LÍQ EQ."/>
  </r>
  <r>
    <x v="6"/>
    <d v="2025-07-24T00:00:00"/>
    <s v="CCERR MACRO AGRO 30645289826 CIRC.CERRADO"/>
    <m/>
    <n v="0"/>
    <n v="769758.03"/>
    <n v="769758.03"/>
    <n v="1101007.1499999999"/>
    <n v="1170"/>
    <n v="0"/>
    <n v="657.9128461538462"/>
    <s v="ARS"/>
    <s v="CC"/>
    <s v="MACRO"/>
    <x v="2"/>
    <x v="4"/>
    <x v="5"/>
    <s v="IVA RG 2300/2007"/>
    <s v="LEIVA HNOS"/>
    <m/>
    <x v="14"/>
    <m/>
    <s v="24/25"/>
    <s v="EFECTIVO Y OTROS ACT LÍQ EQ."/>
    <s v="INGRESOS"/>
  </r>
  <r>
    <x v="6"/>
    <d v="2025-07-24T00:00:00"/>
    <s v="DBCR 25413 S/CR TASA GRAL"/>
    <m/>
    <n v="4618.55"/>
    <n v="0"/>
    <n v="-4618.55"/>
    <n v="1096388.6000000001"/>
    <n v="1170"/>
    <n v="3.9474786324786328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6"/>
    <d v="2025-07-24T00:00:00"/>
    <s v="DBCR 25413 S/DB TASA GRAL"/>
    <m/>
    <n v="5413.32"/>
    <n v="0"/>
    <n v="-5413.32"/>
    <n v="1090975.28"/>
    <n v="1170"/>
    <n v="4.6267692307692307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6"/>
    <d v="2025-07-25T00:00:00"/>
    <s v="CHEQUE P/CAMARA"/>
    <s v="N57867836"/>
    <n v="560000"/>
    <n v="0"/>
    <n v="-560000"/>
    <n v="530975.28"/>
    <n v="1170"/>
    <n v="478.63247863247864"/>
    <n v="0"/>
    <s v="ARS"/>
    <s v="CC"/>
    <s v="MACRO"/>
    <x v="3"/>
    <x v="5"/>
    <x v="37"/>
    <s v="ARREGL DE CUB AUX"/>
    <s v="GOMERIA CARLITOS"/>
    <s v="FA429"/>
    <x v="6"/>
    <m/>
    <s v="24/25"/>
    <s v="BIENES Y SERVICIOS"/>
    <s v="EFECTIVO Y OTROS ACT LÍQ EQ."/>
  </r>
  <r>
    <x v="6"/>
    <d v="2025-07-25T00:00:00"/>
    <s v="CHEQUE P/CAMARA"/>
    <s v="N57867848"/>
    <n v="215300"/>
    <n v="0"/>
    <n v="-215300"/>
    <n v="315675.28000000003"/>
    <n v="1170"/>
    <n v="184.01709401709402"/>
    <n v="0"/>
    <s v="ARS"/>
    <s v="CC"/>
    <s v="MACRO"/>
    <x v="3"/>
    <x v="5"/>
    <x v="28"/>
    <s v="MARZO MAYO JUNIO"/>
    <s v="PANADERIA PICCO"/>
    <m/>
    <x v="5"/>
    <m/>
    <s v="24/25"/>
    <s v="BIENES Y SERVICIOS"/>
    <s v="EFECTIVO Y OTROS ACT LÍQ EQ."/>
  </r>
  <r>
    <x v="6"/>
    <d v="2025-07-25T00:00:00"/>
    <s v="10 SOL.RESC 887385 324771"/>
    <m/>
    <n v="0"/>
    <n v="7800000"/>
    <n v="7800000"/>
    <n v="8115675.2800000003"/>
    <n v="1170"/>
    <n v="0"/>
    <n v="6666.666666666667"/>
    <s v="ARS"/>
    <s v="CC"/>
    <s v="MACRO"/>
    <x v="0"/>
    <x v="23"/>
    <x v="57"/>
    <s v="FCI MONEY MARKET"/>
    <s v="BANCO MACRO"/>
    <m/>
    <x v="22"/>
    <m/>
    <s v="24/25"/>
    <s v="EFECTIVO Y OTROS ACT LÍQ EQ."/>
    <s v="INVERSIONES"/>
  </r>
  <r>
    <x v="6"/>
    <d v="2025-07-25T00:00:00"/>
    <s v="TRANSF. MACRONLINE E-SET M/T"/>
    <m/>
    <n v="4200000"/>
    <n v="0"/>
    <n v="-4200000"/>
    <n v="3915675.28"/>
    <n v="1170"/>
    <n v="3589.7435897435898"/>
    <n v="0"/>
    <s v="ARS"/>
    <s v="CC"/>
    <s v="MACRO"/>
    <x v="0"/>
    <x v="0"/>
    <x v="0"/>
    <s v="HACIA CC GALICIA"/>
    <m/>
    <m/>
    <x v="0"/>
    <m/>
    <s v="24/25"/>
    <m/>
    <m/>
  </r>
  <r>
    <x v="6"/>
    <d v="2025-07-25T00:00:00"/>
    <s v="COMISION TRF. MACROL E-SET"/>
    <m/>
    <n v="121"/>
    <n v="0"/>
    <n v="-121"/>
    <n v="3915554.28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6"/>
    <d v="2025-07-25T00:00:00"/>
    <s v="TRANSF. MACRONLINE E-SET M/T"/>
    <m/>
    <n v="3600000"/>
    <n v="0"/>
    <n v="-3600000"/>
    <n v="315554.28000000003"/>
    <n v="1170"/>
    <n v="3076.9230769230771"/>
    <n v="0"/>
    <s v="ARS"/>
    <s v="CC"/>
    <s v="MACRO"/>
    <x v="0"/>
    <x v="0"/>
    <x v="0"/>
    <s v="HACIA CC PAMPA"/>
    <m/>
    <m/>
    <x v="0"/>
    <m/>
    <s v="24/25"/>
    <m/>
    <m/>
  </r>
  <r>
    <x v="6"/>
    <d v="2025-07-25T00:00:00"/>
    <s v="COMISION TRF. MACROL E-SET"/>
    <m/>
    <n v="121"/>
    <n v="0"/>
    <n v="-121"/>
    <n v="315433.28000000003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6"/>
    <d v="2025-07-25T00:00:00"/>
    <s v="DBCR 25413 S/DB TASA GRAL"/>
    <m/>
    <n v="4653.26"/>
    <n v="0"/>
    <n v="-4653.26"/>
    <n v="310780.02"/>
    <n v="1170"/>
    <n v="3.9771452991452994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6"/>
    <d v="2025-07-28T00:00:00"/>
    <s v="CHEQUE CANJE INTERNO"/>
    <s v="N57867838"/>
    <n v="500000"/>
    <n v="0"/>
    <n v="-500000"/>
    <n v="-189219.98"/>
    <n v="1170"/>
    <n v="427.35042735042737"/>
    <n v="0"/>
    <s v="ARS"/>
    <s v="CC"/>
    <s v="MACRO"/>
    <x v="5"/>
    <x v="13"/>
    <x v="38"/>
    <s v="HACIENDA"/>
    <s v="FACUNDO DE DIOS "/>
    <m/>
    <x v="6"/>
    <m/>
    <s v="24/25"/>
    <s v="BIENES Y SERVICIOS"/>
    <s v="EFECTIVO Y OTROS ACT LÍQ EQ."/>
  </r>
  <r>
    <x v="6"/>
    <d v="2025-07-28T00:00:00"/>
    <s v="10 SOL.RESC 921516 324771"/>
    <m/>
    <n v="0"/>
    <n v="200000"/>
    <n v="200000"/>
    <n v="10780.02"/>
    <n v="1170"/>
    <n v="0"/>
    <n v="170.94017094017093"/>
    <s v="ARS"/>
    <s v="CC"/>
    <s v="MACRO"/>
    <x v="0"/>
    <x v="23"/>
    <x v="57"/>
    <s v="FCI MONEY MARKET"/>
    <s v="BANCO MACRO"/>
    <m/>
    <x v="22"/>
    <m/>
    <s v="24/25"/>
    <s v="EFECTIVO Y OTROS ACT LÍQ EQ."/>
    <s v="INVERSIONES"/>
  </r>
  <r>
    <x v="6"/>
    <d v="2025-07-28T00:00:00"/>
    <s v="TRANSF 30710771576 VAR LEIVA HERMAN"/>
    <m/>
    <n v="0"/>
    <n v="54808000"/>
    <n v="54808000"/>
    <n v="54818780.020000003"/>
    <n v="1170"/>
    <n v="0"/>
    <n v="46844.444444444445"/>
    <s v="ARS"/>
    <s v="CC"/>
    <s v="MACRO"/>
    <x v="2"/>
    <x v="4"/>
    <x v="5"/>
    <s v="VENTA"/>
    <s v="LEIVA HNOS"/>
    <m/>
    <x v="14"/>
    <m/>
    <s v="24/25"/>
    <s v="EFECTIVO Y OTROS ACT LÍQ EQ."/>
    <s v="INGRESOS"/>
  </r>
  <r>
    <x v="6"/>
    <d v="2025-07-28T00:00:00"/>
    <s v="DEBITO FISCAL IVA BASICO"/>
    <m/>
    <n v="3213"/>
    <n v="0"/>
    <n v="-3213"/>
    <n v="54815567.020000003"/>
    <n v="1170"/>
    <n v="2.7461538461538462"/>
    <n v="0"/>
    <s v="ARS"/>
    <s v="CC"/>
    <s v="MACRO"/>
    <x v="1"/>
    <x v="1"/>
    <x v="1"/>
    <s v="DEBITO IVA FISCAL"/>
    <m/>
    <m/>
    <x v="1"/>
    <m/>
    <s v="24/25"/>
    <s v="EGRESOS"/>
    <s v="EFECTIVO Y OTROS ACT LÍQ EQ."/>
  </r>
  <r>
    <x v="6"/>
    <d v="2025-07-28T00:00:00"/>
    <s v="DEBITO FISCAL IVA PERCEPCION"/>
    <m/>
    <n v="459"/>
    <n v="0"/>
    <n v="-459"/>
    <n v="54815108.020000003"/>
    <n v="1170"/>
    <n v="0.3923076923076923"/>
    <n v="0"/>
    <s v="ARS"/>
    <s v="CC"/>
    <s v="MACRO"/>
    <x v="1"/>
    <x v="1"/>
    <x v="1"/>
    <s v="IVA PERCEPCION"/>
    <m/>
    <m/>
    <x v="1"/>
    <m/>
    <s v="24/25"/>
    <s v="EGRESOS"/>
    <s v="EFECTIVO Y OTROS ACT LÍQ EQ."/>
  </r>
  <r>
    <x v="6"/>
    <d v="2025-07-28T00:00:00"/>
    <s v="COMISION CHQ PAG CLEARING"/>
    <m/>
    <n v="15300"/>
    <n v="0"/>
    <n v="-15300"/>
    <n v="54799808.020000003"/>
    <n v="1170"/>
    <n v="13.076923076923077"/>
    <n v="0"/>
    <s v="ARS"/>
    <s v="CC"/>
    <s v="MACRO"/>
    <x v="1"/>
    <x v="7"/>
    <x v="9"/>
    <m/>
    <m/>
    <m/>
    <x v="1"/>
    <m/>
    <s v="24/25"/>
    <s v="EGRESOS"/>
    <s v="EFECTIVO Y OTROS ACT LÍQ EQ."/>
  </r>
  <r>
    <x v="6"/>
    <d v="2025-07-28T00:00:00"/>
    <s v="DBCR 25413 S/CR TASA GRAL"/>
    <m/>
    <n v="328848"/>
    <n v="0"/>
    <n v="-328848"/>
    <n v="54470960.020000003"/>
    <n v="1170"/>
    <n v="281.06666666666666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6"/>
    <d v="2025-07-28T00:00:00"/>
    <s v="DBCR 25413 S/DB TASA GRAL"/>
    <m/>
    <n v="3113.83"/>
    <n v="0"/>
    <n v="-3113.83"/>
    <n v="54467846.189999998"/>
    <n v="1170"/>
    <n v="2.6613931623931624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6"/>
    <d v="2025-07-29T00:00:00"/>
    <s v="CHEQUE P/CAMARA"/>
    <s v="N51936043"/>
    <n v="15000000"/>
    <n v="0"/>
    <n v="-15000000"/>
    <n v="39467846.189999998"/>
    <n v="1170"/>
    <n v="12820.51282051282"/>
    <n v="0"/>
    <s v="ARS"/>
    <s v="CC"/>
    <s v="MACRO"/>
    <x v="2"/>
    <x v="4"/>
    <x v="5"/>
    <s v="INSUMOS "/>
    <s v="TODO CAMPO INS"/>
    <m/>
    <x v="6"/>
    <m/>
    <s v="24/25"/>
    <s v="INSUMOS 2025"/>
    <s v="EFECTIVO Y OTROS ACT LÍQ EQ."/>
  </r>
  <r>
    <x v="6"/>
    <d v="2025-07-29T00:00:00"/>
    <s v="CHEQUE P/CAMARA"/>
    <s v="N57867835"/>
    <n v="1115931.19"/>
    <n v="0"/>
    <n v="-1115931.19"/>
    <n v="38351915"/>
    <n v="1170"/>
    <n v="953.78734188034184"/>
    <n v="0"/>
    <s v="ARS"/>
    <s v="CC"/>
    <s v="MACRO"/>
    <x v="3"/>
    <x v="5"/>
    <x v="30"/>
    <m/>
    <s v="MERLO"/>
    <m/>
    <x v="6"/>
    <m/>
    <s v="24/25"/>
    <s v="BIENES Y SERVICIOS"/>
    <s v="EFECTIVO Y OTROS ACT LÍQ EQ."/>
  </r>
  <r>
    <x v="6"/>
    <d v="2025-07-29T00:00:00"/>
    <s v="CHEQUE P/CAMARA"/>
    <s v="N59456885"/>
    <n v="1607364"/>
    <n v="0"/>
    <n v="-1607364"/>
    <n v="36744551"/>
    <n v="1170"/>
    <n v="1373.8153846153846"/>
    <n v="0"/>
    <s v="ARS"/>
    <s v="CC"/>
    <s v="MACRO"/>
    <x v="2"/>
    <x v="4"/>
    <x v="5"/>
    <s v="FLETES"/>
    <s v="MDB"/>
    <s v="FA69"/>
    <x v="6"/>
    <m/>
    <s v="24/25"/>
    <s v="BIENES Y SERVICIOS"/>
    <s v="EFECTIVO Y OTROS ACT LÍQ EQ."/>
  </r>
  <r>
    <x v="6"/>
    <d v="2025-07-29T00:00:00"/>
    <s v="CHEQUE CANJE INTERNO"/>
    <s v="N59298834"/>
    <n v="498034.54"/>
    <n v="0"/>
    <n v="-498034.54"/>
    <n v="36246516.460000001"/>
    <n v="1170"/>
    <n v="425.67054700854698"/>
    <n v="0"/>
    <s v="ARS"/>
    <s v="CC"/>
    <s v="MACRO"/>
    <x v="5"/>
    <x v="13"/>
    <x v="60"/>
    <s v="SUPLEMENTOS"/>
    <s v="TEKNAL"/>
    <m/>
    <x v="6"/>
    <m/>
    <s v="24/25"/>
    <s v="BIENES Y SERVICIOS"/>
    <s v="EFECTIVO Y OTROS ACT LÍQ EQ."/>
  </r>
  <r>
    <x v="6"/>
    <d v="2025-07-29T00:00:00"/>
    <s v="10 SOL.RESC 948996 324771"/>
    <m/>
    <n v="0"/>
    <n v="9043719.0899999999"/>
    <n v="9043719.0899999999"/>
    <n v="45290235.549999997"/>
    <n v="1170"/>
    <n v="0"/>
    <n v="7729.6744358974356"/>
    <s v="ARS"/>
    <s v="CC"/>
    <s v="MACRO"/>
    <x v="0"/>
    <x v="23"/>
    <x v="57"/>
    <s v="FCI MONEY MARKET"/>
    <s v="BANCO MACRO"/>
    <m/>
    <x v="22"/>
    <m/>
    <s v="24/25"/>
    <s v="EFECTIVO Y OTROS ACT LÍQ EQ."/>
    <s v="INVERSIONES"/>
  </r>
  <r>
    <x v="6"/>
    <d v="2025-07-29T00:00:00"/>
    <s v="TRANSF. MACRONLINE E-SET D/T"/>
    <m/>
    <n v="30022519.050000001"/>
    <n v="0"/>
    <n v="-30022519.050000001"/>
    <n v="15267716.5"/>
    <n v="1170"/>
    <n v="25660.272692307692"/>
    <n v="0"/>
    <s v="ARS"/>
    <s v="CC"/>
    <s v="MACRO"/>
    <x v="5"/>
    <x v="17"/>
    <x v="69"/>
    <m/>
    <s v="COLOMBO&amp;COLOMBO"/>
    <m/>
    <x v="18"/>
    <m/>
    <s v="24/25"/>
    <s v="EGRESOS"/>
    <s v="EFECTIVO Y OTROS ACT LÍQ EQ."/>
  </r>
  <r>
    <x v="6"/>
    <d v="2025-07-29T00:00:00"/>
    <s v="COMISION TRF. MACROL E-SET"/>
    <m/>
    <n v="121"/>
    <n v="0"/>
    <n v="-121"/>
    <n v="15267595.5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6"/>
    <d v="2025-07-29T00:00:00"/>
    <s v="TEF DATANET MT G E S A 30708920882"/>
    <m/>
    <n v="0"/>
    <n v="4000000"/>
    <n v="4000000"/>
    <n v="19267595.5"/>
    <n v="1170"/>
    <n v="0"/>
    <n v="3418.8034188034189"/>
    <s v="ARS"/>
    <s v="CC"/>
    <s v="MACRO"/>
    <x v="0"/>
    <x v="0"/>
    <x v="0"/>
    <s v="HACIA CC GALICIA"/>
    <m/>
    <m/>
    <x v="0"/>
    <m/>
    <s v="24/25"/>
    <m/>
    <m/>
  </r>
  <r>
    <x v="6"/>
    <d v="2025-07-29T00:00:00"/>
    <s v="TRANSF. MACRONLINE E-SET D/T"/>
    <m/>
    <n v="24319448.5"/>
    <n v="0"/>
    <n v="-24319448.5"/>
    <n v="-5051853"/>
    <n v="1170"/>
    <n v="20785.853418803417"/>
    <n v="0"/>
    <s v="ARS"/>
    <s v="CC"/>
    <s v="MACRO"/>
    <x v="5"/>
    <x v="17"/>
    <x v="70"/>
    <m/>
    <s v="COLOMBO&amp;COLOMBO"/>
    <m/>
    <x v="18"/>
    <m/>
    <s v="24/25"/>
    <s v="EGRESOS"/>
    <s v="EFECTIVO Y OTROS ACT LÍQ EQ."/>
  </r>
  <r>
    <x v="6"/>
    <d v="2025-07-29T00:00:00"/>
    <s v="COMISION TRF. MACROL E-SET"/>
    <m/>
    <n v="121"/>
    <n v="0"/>
    <n v="-121"/>
    <n v="-5051974"/>
    <n v="1170"/>
    <n v="0.10341880341880341"/>
    <n v="0"/>
    <s v="ARS"/>
    <s v="CC"/>
    <s v="MACRO"/>
    <x v="1"/>
    <x v="7"/>
    <x v="9"/>
    <m/>
    <m/>
    <m/>
    <x v="1"/>
    <m/>
    <s v="24/25"/>
    <s v="EGRESOS"/>
    <s v="EFECTIVO Y OTROS ACT LÍQ EQ."/>
  </r>
  <r>
    <x v="6"/>
    <d v="2025-07-29T00:00:00"/>
    <s v="TRANSF. MACRONLINE E-SET D/T"/>
    <m/>
    <n v="280000"/>
    <n v="0"/>
    <n v="-280000"/>
    <n v="-5331974"/>
    <n v="1170"/>
    <n v="239.31623931623932"/>
    <n v="0"/>
    <s v="ARS"/>
    <s v="CC"/>
    <s v="MACRO"/>
    <x v="1"/>
    <x v="2"/>
    <x v="2"/>
    <s v="PARTE AGOSTO"/>
    <s v="CLAUDIA ERRECALDE"/>
    <m/>
    <x v="15"/>
    <s v="CLAUDIA"/>
    <s v="24/25"/>
    <s v="FUTURAS UT. ADL CLAUDIA"/>
    <s v="EFECTIVO Y OTROS ACT LÍQ EQ."/>
  </r>
  <r>
    <x v="6"/>
    <d v="2025-07-29T00:00:00"/>
    <s v="COMISION TRF. MACROL E-SET"/>
    <m/>
    <n v="18.149999999999999"/>
    <n v="0"/>
    <n v="-18.149999999999999"/>
    <n v="-5331992.1500000004"/>
    <n v="1170"/>
    <n v="1.5512820512820512E-2"/>
    <n v="0"/>
    <s v="ARS"/>
    <s v="CC"/>
    <s v="MACRO"/>
    <x v="1"/>
    <x v="7"/>
    <x v="9"/>
    <m/>
    <m/>
    <m/>
    <x v="1"/>
    <m/>
    <s v="24/25"/>
    <s v="EGRESOS"/>
    <s v="EFECTIVO Y OTROS ACT LÍQ EQ."/>
  </r>
  <r>
    <x v="6"/>
    <d v="2025-07-29T00:00:00"/>
    <s v="DBCR 25413 S/DB TASA GRAL"/>
    <m/>
    <n v="437061.35"/>
    <n v="0"/>
    <n v="-437061.35"/>
    <n v="-5769053.5"/>
    <n v="1290"/>
    <n v="338.8072480620155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6"/>
    <d v="2025-07-30T00:00:00"/>
    <s v="CHEQUE P/CAMARA"/>
    <s v="N59457028"/>
    <n v="1692306"/>
    <n v="0"/>
    <n v="-1692306"/>
    <n v="-7461359.5"/>
    <n v="1290"/>
    <n v="1311.8651162790698"/>
    <n v="0"/>
    <s v="ARS"/>
    <s v="CC"/>
    <s v="MACRO"/>
    <x v="2"/>
    <x v="4"/>
    <x v="5"/>
    <s v="FLETES"/>
    <s v="BIROLO NICOLAS"/>
    <s v="FA 85"/>
    <x v="6"/>
    <m/>
    <s v="24/25"/>
    <s v="BIENES Y SERVICIOS"/>
    <s v="EFECTIVO Y OTROS ACT LÍQ EQ."/>
  </r>
  <r>
    <x v="6"/>
    <d v="2025-07-30T00:00:00"/>
    <s v="TEF DATANET MT G E S A 30708920882"/>
    <m/>
    <n v="0"/>
    <n v="1500000"/>
    <n v="1500000"/>
    <n v="-5961359.5"/>
    <n v="1290"/>
    <n v="0"/>
    <n v="1162.7906976744187"/>
    <s v="ARS"/>
    <s v="CC"/>
    <s v="MACRO"/>
    <x v="0"/>
    <x v="0"/>
    <x v="0"/>
    <s v="DESDE CC GALICIA"/>
    <m/>
    <m/>
    <x v="0"/>
    <m/>
    <s v="24/25"/>
    <m/>
    <m/>
  </r>
  <r>
    <x v="6"/>
    <d v="2025-07-30T00:00:00"/>
    <s v="DEBITO FISCAL IVA BASICO"/>
    <m/>
    <n v="3276"/>
    <n v="0"/>
    <n v="-3276"/>
    <n v="-5964635.5"/>
    <n v="1290"/>
    <n v="2.5395348837209304"/>
    <n v="0"/>
    <s v="ARS"/>
    <s v="CC"/>
    <s v="MACRO"/>
    <x v="1"/>
    <x v="1"/>
    <x v="1"/>
    <s v="DEBITO IVA FISCAL"/>
    <m/>
    <m/>
    <x v="1"/>
    <m/>
    <s v="24/25"/>
    <s v="EGRESOS"/>
    <s v="EFECTIVO Y OTROS ACT LÍQ EQ."/>
  </r>
  <r>
    <x v="6"/>
    <d v="2025-07-30T00:00:00"/>
    <s v="DEBITO FISCAL IVA PERCEPCION"/>
    <m/>
    <n v="468"/>
    <n v="0"/>
    <n v="-468"/>
    <n v="-5965103.5"/>
    <n v="1290"/>
    <n v="0.36279069767441863"/>
    <n v="0"/>
    <s v="ARS"/>
    <s v="CC"/>
    <s v="MACRO"/>
    <x v="1"/>
    <x v="1"/>
    <x v="1"/>
    <s v="IVA PERCEPCION"/>
    <m/>
    <m/>
    <x v="1"/>
    <m/>
    <s v="24/25"/>
    <s v="EGRESOS"/>
    <s v="EFECTIVO Y OTROS ACT LÍQ EQ."/>
  </r>
  <r>
    <x v="6"/>
    <d v="2025-07-30T00:00:00"/>
    <s v="COMISION CHEQUE CONSULTA"/>
    <m/>
    <n v="15600"/>
    <n v="0"/>
    <n v="-15600"/>
    <n v="-5980703.5"/>
    <n v="1290"/>
    <n v="12.093023255813954"/>
    <n v="0"/>
    <s v="ARS"/>
    <s v="CC"/>
    <s v="MACRO"/>
    <x v="1"/>
    <x v="7"/>
    <x v="9"/>
    <m/>
    <m/>
    <m/>
    <x v="1"/>
    <m/>
    <s v="24/25"/>
    <s v="EGRESOS"/>
    <s v="EFECTIVO Y OTROS ACT LÍQ EQ."/>
  </r>
  <r>
    <x v="6"/>
    <d v="2025-07-30T00:00:00"/>
    <s v="DBCR 25413 S/DB TASA GRAL"/>
    <m/>
    <n v="10269.9"/>
    <n v="0"/>
    <n v="-10269.9"/>
    <n v="-5990973.4000000004"/>
    <n v="1290"/>
    <n v="7.9611627906976743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6"/>
    <d v="2025-07-30T00:00:00"/>
    <s v="DB TR..AUT.SDO.MISMO TIT."/>
    <m/>
    <n v="61628"/>
    <n v="0"/>
    <n v="-61628"/>
    <n v="-6052601.4000000004"/>
    <n v="1290"/>
    <n v="47.773643410852713"/>
    <n v="0"/>
    <s v="ARS"/>
    <s v="CC"/>
    <s v="MACRO"/>
    <x v="0"/>
    <x v="0"/>
    <x v="0"/>
    <s v="HACIA CC MACRO"/>
    <m/>
    <m/>
    <x v="0"/>
    <m/>
    <s v="24/25"/>
    <m/>
    <m/>
  </r>
  <r>
    <x v="6"/>
    <d v="2025-07-31T00:00:00"/>
    <s v="CHEQUE P/CAMARA"/>
    <s v="N59456972"/>
    <n v="1682505"/>
    <n v="0"/>
    <n v="-1682505"/>
    <n v="-7735106.4000000004"/>
    <n v="1290"/>
    <n v="1304.2674418604652"/>
    <n v="0"/>
    <s v="ARS"/>
    <s v="CC"/>
    <s v="MACRO"/>
    <x v="2"/>
    <x v="4"/>
    <x v="5"/>
    <s v="FLETES"/>
    <s v="MDB"/>
    <s v="FA 82"/>
    <x v="6"/>
    <m/>
    <s v="24/25"/>
    <s v="BIENES Y SERVICIOS"/>
    <s v="EFECTIVO Y OTROS ACT LÍQ EQ."/>
  </r>
  <r>
    <x v="6"/>
    <d v="2025-07-31T00:00:00"/>
    <s v="TRANSF G Y E SA 30708920882 VAR VARIOS 306174"/>
    <m/>
    <n v="0"/>
    <n v="8000000"/>
    <n v="8000000"/>
    <n v="264893.59999999998"/>
    <n v="1290"/>
    <n v="0"/>
    <n v="6201.5503875968989"/>
    <s v="ARS"/>
    <s v="CC"/>
    <s v="MACRO"/>
    <x v="0"/>
    <x v="0"/>
    <x v="0"/>
    <s v="DESDE CC PAMPA"/>
    <m/>
    <m/>
    <x v="0"/>
    <m/>
    <s v="24/25"/>
    <m/>
    <m/>
  </r>
  <r>
    <x v="6"/>
    <d v="2025-07-31T00:00:00"/>
    <s v="TEF DATANET PR SWIFT ARGENTINA SA 30560378056"/>
    <m/>
    <n v="0"/>
    <n v="80757852"/>
    <n v="80757852"/>
    <n v="81022745.599999994"/>
    <n v="1290"/>
    <n v="0"/>
    <n v="62602.986046511629"/>
    <s v="ARS"/>
    <s v="CC"/>
    <s v="MACRO"/>
    <x v="5"/>
    <x v="21"/>
    <x v="71"/>
    <s v="VENTA 10/07/2025"/>
    <s v="SWIFT"/>
    <m/>
    <x v="21"/>
    <m/>
    <s v="24/25"/>
    <s v="EFECTIVO Y OTROS ACT LÍQ EQ."/>
    <s v="INGRESOS"/>
  </r>
  <r>
    <x v="6"/>
    <d v="2025-07-31T00:00:00"/>
    <s v="TRANSF. MACRONLINE E-SET D/T"/>
    <m/>
    <n v="8000000"/>
    <n v="0"/>
    <n v="-8000000"/>
    <n v="73022745.599999994"/>
    <n v="1290"/>
    <n v="6201.5503875968989"/>
    <n v="0"/>
    <s v="ARS"/>
    <s v="CC"/>
    <s v="MACRO"/>
    <x v="0"/>
    <x v="0"/>
    <x v="0"/>
    <s v="HACIA CC PAMPA"/>
    <m/>
    <m/>
    <x v="0"/>
    <m/>
    <s v="24/25"/>
    <m/>
    <m/>
  </r>
  <r>
    <x v="6"/>
    <d v="2025-07-31T00:00:00"/>
    <s v="COMISION TRF. MACROL E-SET"/>
    <m/>
    <n v="121"/>
    <n v="0"/>
    <n v="-121"/>
    <n v="73022624.599999994"/>
    <n v="1290"/>
    <n v="9.3798449612403106E-2"/>
    <n v="0"/>
    <s v="ARS"/>
    <s v="CC"/>
    <s v="MACRO"/>
    <x v="1"/>
    <x v="7"/>
    <x v="9"/>
    <m/>
    <m/>
    <m/>
    <x v="1"/>
    <m/>
    <s v="24/25"/>
    <s v="EGRESOS"/>
    <s v="EFECTIVO Y OTROS ACT LÍQ EQ."/>
  </r>
  <r>
    <x v="6"/>
    <d v="2025-07-31T00:00:00"/>
    <s v="DEBITO FISCAL IVA BASICO"/>
    <m/>
    <n v="3276"/>
    <n v="0"/>
    <n v="-3276"/>
    <n v="73019348.599999994"/>
    <n v="1290"/>
    <n v="2.5395348837209304"/>
    <n v="0"/>
    <s v="ARS"/>
    <s v="CC"/>
    <s v="MACRO"/>
    <x v="1"/>
    <x v="1"/>
    <x v="1"/>
    <s v="DEBITO IVA FISCAL"/>
    <m/>
    <m/>
    <x v="1"/>
    <m/>
    <s v="24/25"/>
    <s v="EGRESOS"/>
    <s v="EFECTIVO Y OTROS ACT LÍQ EQ."/>
  </r>
  <r>
    <x v="6"/>
    <d v="2025-07-31T00:00:00"/>
    <s v="DEBITO FISCAL IVA PERCEPCION"/>
    <m/>
    <n v="468"/>
    <n v="0"/>
    <n v="-468"/>
    <n v="73018880.599999994"/>
    <n v="1290"/>
    <n v="0.36279069767441863"/>
    <n v="0"/>
    <s v="ARS"/>
    <s v="CC"/>
    <s v="MACRO"/>
    <x v="1"/>
    <x v="1"/>
    <x v="1"/>
    <s v="IVA PERCEPCION"/>
    <m/>
    <m/>
    <x v="1"/>
    <m/>
    <s v="24/25"/>
    <s v="EGRESOS"/>
    <s v="EFECTIVO Y OTROS ACT LÍQ EQ."/>
  </r>
  <r>
    <x v="6"/>
    <d v="2025-07-31T00:00:00"/>
    <s v="COMISION CHEQUE CONSULTA"/>
    <m/>
    <n v="15600"/>
    <n v="0"/>
    <n v="-15600"/>
    <n v="73003280.599999994"/>
    <n v="1290"/>
    <n v="12.093023255813954"/>
    <n v="0"/>
    <s v="ARS"/>
    <s v="CC"/>
    <s v="MACRO"/>
    <x v="1"/>
    <x v="7"/>
    <x v="9"/>
    <m/>
    <m/>
    <m/>
    <x v="1"/>
    <m/>
    <s v="24/25"/>
    <s v="EGRESOS"/>
    <s v="EFECTIVO Y OTROS ACT LÍQ EQ."/>
  </r>
  <r>
    <x v="6"/>
    <d v="2025-07-31T00:00:00"/>
    <s v="DBCR 25413 S/CR TASA GRAL"/>
    <m/>
    <n v="484547.11"/>
    <n v="0"/>
    <n v="-484547.11"/>
    <n v="72518733.489999995"/>
    <n v="1290"/>
    <n v="375.61791472868214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6"/>
    <d v="2025-07-31T00:00:00"/>
    <s v="DBCR 25413 S/DB TASA GRAL"/>
    <m/>
    <n v="10211.82"/>
    <n v="0"/>
    <n v="-10211.82"/>
    <n v="72508521.670000002"/>
    <n v="1290"/>
    <n v="7.9161395348837207"/>
    <n v="0"/>
    <s v="ARS"/>
    <s v="CC"/>
    <s v="MACRO"/>
    <x v="1"/>
    <x v="1"/>
    <x v="1"/>
    <s v="TASA GRAL"/>
    <m/>
    <m/>
    <x v="1"/>
    <m/>
    <s v="24/25"/>
    <s v="EGRESOS"/>
    <s v="EFECTIVO Y OTROS ACT LÍQ EQ."/>
  </r>
  <r>
    <x v="6"/>
    <d v="2025-07-31T00:00:00"/>
    <s v="DB TR..AUT.SDO.MISMO TIT."/>
    <m/>
    <n v="369.77"/>
    <n v="0"/>
    <n v="-369.77"/>
    <n v="72508151.900000006"/>
    <n v="1290"/>
    <n v="0.28664341085271317"/>
    <n v="0"/>
    <s v="ARS"/>
    <s v="CC"/>
    <s v="MACRO"/>
    <x v="0"/>
    <x v="0"/>
    <x v="0"/>
    <s v="HACIA CC PAMPA"/>
    <m/>
    <m/>
    <x v="0"/>
    <m/>
    <s v="24/25"/>
    <m/>
    <m/>
  </r>
  <r>
    <x v="7"/>
    <d v="2025-08-01T00:00:00"/>
    <s v="DEBITO FISCAL IVA BASICO"/>
    <m/>
    <n v="1740.76"/>
    <n v="0"/>
    <n v="-1740.76"/>
    <n v="72506411.140000001"/>
    <n v="1290"/>
    <n v="1.3494263565891473"/>
    <n v="0"/>
    <s v="ARS"/>
    <s v="CC"/>
    <s v="MACRO"/>
    <x v="1"/>
    <x v="1"/>
    <x v="1"/>
    <s v="DEBITO IVA FISCAL"/>
    <m/>
    <m/>
    <x v="1"/>
    <m/>
    <s v="24/25"/>
    <s v="EGRESOS"/>
    <s v="EFECTIVO Y OTROS ACT LÍQ EQ."/>
  </r>
  <r>
    <x v="7"/>
    <d v="2025-08-01T00:00:00"/>
    <s v="DEBITO FISCAL IVA PERCEPCION"/>
    <m/>
    <n v="248.68"/>
    <n v="0"/>
    <n v="-248.68"/>
    <n v="72506162.459999993"/>
    <n v="1290"/>
    <n v="0.19277519379844962"/>
    <n v="0"/>
    <s v="ARS"/>
    <s v="CC"/>
    <s v="MACRO"/>
    <x v="1"/>
    <x v="1"/>
    <x v="1"/>
    <s v="DEBITO IVA FISCAL"/>
    <m/>
    <m/>
    <x v="1"/>
    <m/>
    <s v="24/25"/>
    <s v="EGRESOS"/>
    <s v="EFECTIVO Y OTROS ACT LÍQ EQ."/>
  </r>
  <r>
    <x v="7"/>
    <d v="2025-08-01T00:00:00"/>
    <s v="INTER.ADEL.CC C/ACUERD"/>
    <m/>
    <n v="16578.650000000001"/>
    <n v="0"/>
    <n v="-16578.650000000001"/>
    <n v="72489583.810000002"/>
    <n v="1290"/>
    <n v="12.851666666666668"/>
    <n v="0"/>
    <s v="ARS"/>
    <s v="CC"/>
    <s v="MACRO"/>
    <x v="1"/>
    <x v="6"/>
    <x v="8"/>
    <m/>
    <m/>
    <m/>
    <x v="1"/>
    <m/>
    <s v="24/25"/>
    <s v="EGRESOS"/>
    <s v="EFECTIVO Y OTROS ACT LÍQ EQ."/>
  </r>
  <r>
    <x v="7"/>
    <d v="2025-08-01T00:00:00"/>
    <s v="DEBITO FISCAL IVA BASICO"/>
    <m/>
    <n v="10.29"/>
    <n v="0"/>
    <n v="-10.29"/>
    <n v="72489573.519999996"/>
    <n v="1290"/>
    <n v="7.9767441860465107E-3"/>
    <n v="0"/>
    <s v="ARS"/>
    <s v="CC"/>
    <s v="MACRO"/>
    <x v="1"/>
    <x v="1"/>
    <x v="1"/>
    <s v="DEBITO IVA FISCAL"/>
    <m/>
    <m/>
    <x v="1"/>
    <m/>
    <s v="24/25"/>
    <s v="EGRESOS"/>
    <s v="EFECTIVO Y OTROS ACT LÍQ EQ."/>
  </r>
  <r>
    <x v="7"/>
    <d v="2025-08-01T00:00:00"/>
    <s v="INTER.ADEL.CC S/ACUERD"/>
    <m/>
    <n v="98"/>
    <n v="0"/>
    <n v="-98"/>
    <n v="72489475.519999996"/>
    <n v="1290"/>
    <n v="7.5968992248062014E-2"/>
    <n v="0"/>
    <s v="ARS"/>
    <s v="CC"/>
    <s v="MACRO"/>
    <x v="1"/>
    <x v="6"/>
    <x v="8"/>
    <m/>
    <m/>
    <m/>
    <x v="1"/>
    <m/>
    <s v="24/25"/>
    <s v="EGRESOS"/>
    <s v="EFECTIVO Y OTROS ACT LÍQ EQ."/>
  </r>
  <r>
    <x v="7"/>
    <d v="2025-08-01T00:00:00"/>
    <s v="CHEQUE P/CAMARA"/>
    <s v="N57867844"/>
    <n v="440000"/>
    <n v="0"/>
    <n v="-440000"/>
    <n v="72049475.519999996"/>
    <n v="1290"/>
    <n v="341.08527131782944"/>
    <n v="0"/>
    <s v="ARS"/>
    <s v="CC"/>
    <s v="MACRO"/>
    <x v="5"/>
    <x v="13"/>
    <x v="4"/>
    <s v="HONORARIOS"/>
    <s v="FEDE PICCIOCHI"/>
    <m/>
    <x v="6"/>
    <m/>
    <s v="24/25"/>
    <s v="BIENES Y SERVICIOS"/>
    <s v="EFECTIVO Y OTROS ACT LÍQ EQ."/>
  </r>
  <r>
    <x v="7"/>
    <d v="2025-08-01T00:00:00"/>
    <s v="CHEQUE P/CAMARA"/>
    <s v="N57867845"/>
    <n v="1247120"/>
    <n v="0"/>
    <n v="-1247120"/>
    <n v="70802355.519999996"/>
    <n v="1290"/>
    <n v="966.75968992248067"/>
    <n v="0"/>
    <s v="ARS"/>
    <s v="CC"/>
    <s v="MACRO"/>
    <x v="5"/>
    <x v="13"/>
    <x v="21"/>
    <m/>
    <s v="LA YUNTA VET"/>
    <s v="FA 813"/>
    <x v="6"/>
    <m/>
    <s v="24/25"/>
    <s v="BIENES Y SERVICIOS"/>
    <s v="EFECTIVO Y OTROS ACT LÍQ EQ."/>
  </r>
  <r>
    <x v="7"/>
    <d v="2025-08-01T00:00:00"/>
    <s v="CHEQUE P/CAMARA"/>
    <s v="N59345484"/>
    <n v="5807565"/>
    <n v="0"/>
    <n v="-5807565"/>
    <n v="64994790.520000003"/>
    <n v="1290"/>
    <n v="4501.9883720930229"/>
    <n v="0"/>
    <s v="ARS"/>
    <s v="CC"/>
    <s v="MACRO"/>
    <x v="5"/>
    <x v="13"/>
    <x v="66"/>
    <s v="NUTRIMAX"/>
    <s v="ACA"/>
    <s v="FA 316"/>
    <x v="6"/>
    <m/>
    <s v="24/25"/>
    <s v="INSUMOS 2025"/>
    <s v="EFECTIVO Y OTROS ACT LÍQ EQ."/>
  </r>
  <r>
    <x v="4"/>
    <d v="2025-05-09T00:00:00"/>
    <s v="TRANSFERENCIA"/>
    <m/>
    <n v="0"/>
    <n v="600000"/>
    <n v="600000"/>
    <m/>
    <n v="1170"/>
    <n v="0"/>
    <n v="512.82051282051282"/>
    <m/>
    <s v="-"/>
    <s v="-"/>
    <x v="1"/>
    <x v="2"/>
    <x v="14"/>
    <s v="PARA PAGO MARTIN"/>
    <s v="RAUL"/>
    <m/>
    <x v="8"/>
    <s v="RAUL"/>
    <s v="24/25"/>
    <s v="EFECTIVO Y OTROS ACT LÍQ EQ."/>
    <s v="APORTES DE CAPITAL"/>
  </r>
  <r>
    <x v="4"/>
    <d v="2025-05-09T00:00:00"/>
    <s v="EFECTIVO"/>
    <m/>
    <n v="500000"/>
    <n v="0"/>
    <n v="-500000"/>
    <m/>
    <n v="1170"/>
    <n v="427.35042735042737"/>
    <n v="0"/>
    <m/>
    <s v="-"/>
    <s v="-"/>
    <x v="1"/>
    <x v="3"/>
    <x v="3"/>
    <s v="PERIODO ABRIL"/>
    <s v="ANDRES TOLEDO"/>
    <m/>
    <x v="3"/>
    <m/>
    <s v="24/25"/>
    <s v="EGRESOS"/>
    <s v="EFECTIVO Y OTROS ACT LÍQ EQ."/>
  </r>
  <r>
    <x v="4"/>
    <d v="2025-05-09T00:00:00"/>
    <s v="EFECTIVO"/>
    <m/>
    <n v="100000"/>
    <n v="0"/>
    <n v="-100000"/>
    <m/>
    <n v="1170"/>
    <n v="85.470085470085465"/>
    <n v="0"/>
    <m/>
    <s v="-"/>
    <s v="-"/>
    <x v="1"/>
    <x v="3"/>
    <x v="13"/>
    <m/>
    <s v="MARTIN TOLEDO"/>
    <m/>
    <x v="3"/>
    <m/>
    <s v="24/25"/>
    <s v="EGRESOS"/>
    <s v="EFECTIVO Y OTROS ACT LÍQ EQ."/>
  </r>
  <r>
    <x v="4"/>
    <d v="2025-05-10T00:00:00"/>
    <s v="TRANSFERENCIA"/>
    <m/>
    <n v="0"/>
    <n v="100000"/>
    <n v="100000"/>
    <m/>
    <n v="1170"/>
    <n v="0"/>
    <n v="85.470085470085465"/>
    <m/>
    <s v="-"/>
    <s v="-"/>
    <x v="1"/>
    <x v="2"/>
    <x v="14"/>
    <s v="PARA PAGO MARTIN"/>
    <s v="RAUL"/>
    <m/>
    <x v="8"/>
    <s v="RAUL"/>
    <s v="24/25"/>
    <s v="EFECTIVO Y OTROS ACT LÍQ EQ."/>
    <s v="APORTES DE CAPITAL"/>
  </r>
  <r>
    <x v="4"/>
    <d v="2025-05-10T00:00:00"/>
    <s v="EFECTIVO"/>
    <m/>
    <n v="100000"/>
    <n v="0"/>
    <n v="-100000"/>
    <m/>
    <n v="1170"/>
    <n v="85.470085470085465"/>
    <n v="0"/>
    <m/>
    <s v="-"/>
    <s v="-"/>
    <x v="1"/>
    <x v="3"/>
    <x v="13"/>
    <m/>
    <s v="MARTIN TOLEDO"/>
    <m/>
    <x v="3"/>
    <m/>
    <s v="24/25"/>
    <s v="EGRESOS"/>
    <s v="EFECTIVO Y OTROS ACT LÍQ EQ."/>
  </r>
  <r>
    <x v="4"/>
    <d v="2025-05-26T00:00:00"/>
    <s v="EFECTIVO"/>
    <m/>
    <n v="500000"/>
    <n v="0"/>
    <n v="-500000"/>
    <m/>
    <n v="1170"/>
    <n v="427.35042735042737"/>
    <n v="0"/>
    <s v="-"/>
    <s v="-"/>
    <s v="-"/>
    <x v="1"/>
    <x v="3"/>
    <x v="3"/>
    <s v="PERIODO MAYO 25"/>
    <s v="ANDRES TOLEDO"/>
    <m/>
    <x v="3"/>
    <m/>
    <s v="24/25"/>
    <s v="EGRESOS"/>
    <s v="EFECTIVO Y OTROS ACT LÍQ EQ."/>
  </r>
  <r>
    <x v="4"/>
    <d v="2025-05-16T00:00:00"/>
    <s v="EFECTIVO"/>
    <m/>
    <n v="0"/>
    <n v="17021.73"/>
    <n v="17021.73"/>
    <m/>
    <n v="1170"/>
    <n v="0"/>
    <n v="14.548487179487179"/>
    <s v="-"/>
    <s v="-"/>
    <s v="-"/>
    <x v="1"/>
    <x v="2"/>
    <x v="14"/>
    <s v="PARA UATRE"/>
    <s v="CLAUDIA ERRECALDE"/>
    <m/>
    <x v="8"/>
    <s v="CLAUDIA"/>
    <s v="24/25"/>
    <s v="EFECTIVO Y OTROS ACT LÍQ EQ."/>
    <s v="APORTES DE CAPITAL"/>
  </r>
  <r>
    <x v="3"/>
    <d v="2025-04-21T00:00:00"/>
    <s v="EFECTIVO"/>
    <m/>
    <n v="0"/>
    <n v="45000"/>
    <n v="45000"/>
    <m/>
    <n v="1170"/>
    <n v="0"/>
    <n v="38.46153846153846"/>
    <s v="-"/>
    <s v="-"/>
    <s v="-"/>
    <x v="1"/>
    <x v="2"/>
    <x v="14"/>
    <s v="PARA PAGO MARTIN"/>
    <s v="RAUL"/>
    <m/>
    <x v="8"/>
    <s v="RAUL"/>
    <s v="24/25"/>
    <s v="EFECTIVO Y OTROS ACT LÍQ EQ."/>
    <s v="APORTES DE CAPITAL"/>
  </r>
  <r>
    <x v="3"/>
    <d v="2025-04-21T00:00:00"/>
    <s v="EFECTIVO"/>
    <m/>
    <n v="45000"/>
    <n v="0"/>
    <n v="-45000"/>
    <m/>
    <n v="1170"/>
    <n v="38.46153846153846"/>
    <n v="0"/>
    <s v="-"/>
    <s v="-"/>
    <s v="-"/>
    <x v="1"/>
    <x v="3"/>
    <x v="13"/>
    <m/>
    <s v="MARTIN TOLEDO"/>
    <m/>
    <x v="3"/>
    <m/>
    <s v="24/25"/>
    <s v="EGRESOS"/>
    <s v="EFECTIVO Y OTROS ACT LÍQ EQ."/>
  </r>
  <r>
    <x v="4"/>
    <d v="2025-05-16T00:00:00"/>
    <s v="EFECTIVO"/>
    <m/>
    <n v="17021.73"/>
    <n v="0"/>
    <n v="-17021.73"/>
    <m/>
    <n v="1170"/>
    <n v="14.548487179487179"/>
    <n v="0"/>
    <s v="-"/>
    <s v="-"/>
    <s v="-"/>
    <x v="1"/>
    <x v="3"/>
    <x v="3"/>
    <s v="UATRE ABRIL"/>
    <s v="ANDRES TOLEDO"/>
    <m/>
    <x v="3"/>
    <m/>
    <s v="24/25"/>
    <s v="EGRESOS"/>
    <s v="EFECTIVO Y OTROS ACT LÍQ EQ."/>
  </r>
  <r>
    <x v="5"/>
    <d v="2025-06-16T00:00:00"/>
    <s v="EFECTIVO"/>
    <m/>
    <n v="0"/>
    <n v="402358"/>
    <n v="402358"/>
    <m/>
    <n v="1170"/>
    <n v="0"/>
    <n v="343.89572649572648"/>
    <s v="-"/>
    <s v="-"/>
    <s v="-"/>
    <x v="1"/>
    <x v="11"/>
    <x v="14"/>
    <s v="PERIODO JUNIO"/>
    <s v="BECERRA ADRIAN"/>
    <m/>
    <x v="10"/>
    <m/>
    <s v="24/25"/>
    <s v="EFECTIVO Y OTROS ACT LÍQ EQ."/>
    <s v="DEUDAS FINANCIERAS CP"/>
  </r>
  <r>
    <x v="5"/>
    <d v="2025-06-06T00:00:00"/>
    <s v="EFECTIVO"/>
    <m/>
    <n v="55200"/>
    <n v="0"/>
    <n v="-55200"/>
    <m/>
    <n v="1170"/>
    <n v="47.179487179487182"/>
    <n v="0"/>
    <s v="-"/>
    <s v="-"/>
    <s v="-"/>
    <x v="5"/>
    <x v="13"/>
    <x v="39"/>
    <s v="HACIENDA"/>
    <s v="SENASA"/>
    <m/>
    <x v="6"/>
    <m/>
    <s v="24/25"/>
    <s v="BIENES Y SERVICIOS"/>
    <s v="EFECTIVO Y OTROS ACT LÍQ EQ."/>
  </r>
  <r>
    <x v="5"/>
    <d v="2025-06-01T00:00:00"/>
    <s v="EFECTIVO"/>
    <m/>
    <n v="49000"/>
    <n v="0"/>
    <n v="-49000"/>
    <m/>
    <n v="1170"/>
    <n v="41.880341880341881"/>
    <n v="0"/>
    <s v="-"/>
    <s v="-"/>
    <s v="-"/>
    <x v="3"/>
    <x v="5"/>
    <x v="30"/>
    <s v="ASADO CAMPO"/>
    <m/>
    <m/>
    <x v="6"/>
    <m/>
    <s v="24/25"/>
    <s v="BIENES Y SERVICIOS"/>
    <s v="EFECTIVO Y OTROS ACT LÍQ EQ."/>
  </r>
  <r>
    <x v="5"/>
    <d v="2025-06-05T00:00:00"/>
    <s v="EFECTIVO"/>
    <m/>
    <n v="66158"/>
    <n v="0"/>
    <n v="-66158"/>
    <m/>
    <n v="1170"/>
    <n v="56.545299145299147"/>
    <n v="0"/>
    <s v="-"/>
    <s v="-"/>
    <s v="-"/>
    <x v="1"/>
    <x v="2"/>
    <x v="26"/>
    <s v="SEGUROS"/>
    <s v="RAUL"/>
    <m/>
    <x v="2"/>
    <s v="RAUL"/>
    <s v="24/25"/>
    <s v="FUTURAS UT. ADL RAUL"/>
    <s v="EFECTIVO Y OTROS ACT LÍQ EQ."/>
  </r>
  <r>
    <x v="5"/>
    <d v="2025-06-05T00:00:00"/>
    <s v="EFECTIVO"/>
    <m/>
    <n v="100000"/>
    <n v="0"/>
    <n v="-100000"/>
    <m/>
    <n v="1170"/>
    <n v="85.470085470085465"/>
    <n v="0"/>
    <s v="-"/>
    <s v="-"/>
    <s v="-"/>
    <x v="1"/>
    <x v="3"/>
    <x v="13"/>
    <m/>
    <s v="MARTIN TOLEDO"/>
    <m/>
    <x v="3"/>
    <m/>
    <s v="24/25"/>
    <s v="EGRESOS"/>
    <s v="EFECTIVO Y OTROS ACT LÍQ EQ."/>
  </r>
  <r>
    <x v="5"/>
    <d v="2025-06-01T00:00:00"/>
    <s v="EFECTIVO"/>
    <m/>
    <n v="32000"/>
    <n v="0"/>
    <n v="-32000"/>
    <m/>
    <n v="1170"/>
    <n v="27.350427350427349"/>
    <n v="0"/>
    <s v="-"/>
    <s v="-"/>
    <s v="-"/>
    <x v="3"/>
    <x v="5"/>
    <x v="24"/>
    <s v="LIMPIEZA CASA CAMPO"/>
    <s v="GRACIELA"/>
    <m/>
    <x v="5"/>
    <m/>
    <s v="24/25"/>
    <s v="BIENES Y SERVICIOS"/>
    <s v="EFECTIVO Y OTROS ACT LÍQ EQ."/>
  </r>
  <r>
    <x v="5"/>
    <d v="2025-06-05T00:00:00"/>
    <s v="EFECTIVO"/>
    <m/>
    <n v="0"/>
    <n v="700000"/>
    <n v="700000"/>
    <m/>
    <n v="1170"/>
    <n v="0"/>
    <n v="598.29059829059827"/>
    <s v="-"/>
    <s v="-"/>
    <s v="-"/>
    <x v="1"/>
    <x v="11"/>
    <x v="14"/>
    <s v="PERIODO JUNIO"/>
    <s v="BECERRA ADRIAN"/>
    <m/>
    <x v="10"/>
    <m/>
    <s v="24/25"/>
    <s v="EFECTIVO Y OTROS ACT LÍQ EQ."/>
    <s v="DEUDAS FINANCIERAS CP"/>
  </r>
  <r>
    <x v="5"/>
    <d v="2025-06-05T00:00:00"/>
    <s v="EFECTIVO"/>
    <m/>
    <n v="200000"/>
    <n v="0"/>
    <n v="-200000"/>
    <m/>
    <n v="1170"/>
    <n v="170.94017094017093"/>
    <n v="0"/>
    <s v="-"/>
    <s v="-"/>
    <s v="-"/>
    <x v="1"/>
    <x v="3"/>
    <x v="13"/>
    <m/>
    <s v="MARTIN TOLEDO"/>
    <m/>
    <x v="3"/>
    <m/>
    <s v="24/25"/>
    <s v="EGRESOS"/>
    <s v="EFECTIVO Y OTROS ACT LÍQ EQ."/>
  </r>
  <r>
    <x v="5"/>
    <d v="2025-06-19T00:00:00"/>
    <s v="EFECTIVO"/>
    <m/>
    <n v="0"/>
    <n v="17473"/>
    <n v="17473"/>
    <m/>
    <n v="1170"/>
    <n v="0"/>
    <n v="14.934188034188034"/>
    <s v="-"/>
    <s v="-"/>
    <s v="-"/>
    <x v="1"/>
    <x v="2"/>
    <x v="14"/>
    <m/>
    <s v="RAUL"/>
    <m/>
    <x v="8"/>
    <s v="RAUL"/>
    <s v="24/25"/>
    <s v="EFECTIVO Y OTROS ACT LÍQ EQ."/>
    <s v="APORTES DE CAPITAL"/>
  </r>
  <r>
    <x v="5"/>
    <d v="2025-06-19T00:00:00"/>
    <s v="EFECTIVO"/>
    <m/>
    <n v="17473"/>
    <n v="0"/>
    <n v="-17473"/>
    <m/>
    <n v="1170"/>
    <n v="14.934188034188034"/>
    <n v="0"/>
    <s v="-"/>
    <s v="-"/>
    <s v="-"/>
    <x v="1"/>
    <x v="3"/>
    <x v="3"/>
    <s v="UATRE MAYO"/>
    <s v="ANDRES TOLEDO"/>
    <m/>
    <x v="3"/>
    <m/>
    <s v="24/25"/>
    <s v="EGRESOS"/>
    <s v="EFECTIVO Y OTROS ACT LÍQ EQ."/>
  </r>
  <r>
    <x v="5"/>
    <d v="2025-06-19T00:00:00"/>
    <s v="EFECTIVO"/>
    <m/>
    <n v="0"/>
    <n v="350000"/>
    <n v="350000"/>
    <m/>
    <n v="1170"/>
    <n v="0"/>
    <n v="299.14529914529913"/>
    <s v="-"/>
    <s v="-"/>
    <s v="-"/>
    <x v="1"/>
    <x v="11"/>
    <x v="72"/>
    <s v="PAGO CN 2 GOMAS A FACUNDO DE DIOS- PARTE DE DEVOLUCION"/>
    <s v="SANTIAGO ERRECALDE"/>
    <m/>
    <x v="10"/>
    <m/>
    <s v="24/25"/>
    <s v="EFECTIVO Y OTROS ACT LÍQ EQ."/>
    <s v="ACREEDORES CORTO PLAZO"/>
  </r>
  <r>
    <x v="5"/>
    <d v="2025-06-19T00:00:00"/>
    <s v="EFECTIVO"/>
    <m/>
    <n v="350000"/>
    <n v="0"/>
    <n v="-350000"/>
    <m/>
    <n v="1170"/>
    <n v="299.14529914529913"/>
    <n v="0"/>
    <s v="-"/>
    <s v="-"/>
    <s v="-"/>
    <x v="5"/>
    <x v="13"/>
    <x v="38"/>
    <s v="HACIENDA"/>
    <s v="FACUNDO DE DIOS "/>
    <m/>
    <x v="6"/>
    <m/>
    <s v="24/25"/>
    <s v="BIENES Y SERVICIOS"/>
    <s v="EFECTIVO Y OTROS ACT LÍQ EQ."/>
  </r>
  <r>
    <x v="5"/>
    <d v="2025-06-23T00:00:00"/>
    <s v="EFECTIVO"/>
    <m/>
    <n v="0"/>
    <n v="593826"/>
    <n v="593826"/>
    <m/>
    <n v="1170"/>
    <n v="0"/>
    <n v="507.54358974358973"/>
    <s v="-"/>
    <s v="-"/>
    <s v="-"/>
    <x v="1"/>
    <x v="11"/>
    <x v="14"/>
    <s v="PAGO VARIOS"/>
    <s v="BECERRA ADRIAN"/>
    <m/>
    <x v="10"/>
    <m/>
    <s v="24/25"/>
    <s v="EFECTIVO Y OTROS ACT LÍQ EQ."/>
    <s v="DEUDAS FINANCIERAS CP"/>
  </r>
  <r>
    <x v="5"/>
    <d v="2025-06-23T00:00:00"/>
    <s v="EFECTIVO"/>
    <m/>
    <n v="150000"/>
    <n v="0"/>
    <n v="-150000"/>
    <m/>
    <n v="1170"/>
    <n v="128.2051282051282"/>
    <n v="0"/>
    <s v="-"/>
    <s v="-"/>
    <s v="-"/>
    <x v="1"/>
    <x v="3"/>
    <x v="13"/>
    <m/>
    <s v="MARTIN TOLEDO"/>
    <m/>
    <x v="3"/>
    <m/>
    <s v="24/25"/>
    <s v="EGRESOS"/>
    <s v="EFECTIVO Y OTROS ACT LÍQ EQ."/>
  </r>
  <r>
    <x v="5"/>
    <d v="2025-06-23T00:00:00"/>
    <s v="EFECTIVO"/>
    <m/>
    <n v="53800"/>
    <n v="0"/>
    <n v="-53800"/>
    <m/>
    <n v="1170"/>
    <n v="45.982905982905983"/>
    <n v="0"/>
    <s v="-"/>
    <s v="-"/>
    <s v="-"/>
    <x v="5"/>
    <x v="13"/>
    <x v="39"/>
    <s v="HACIENDA"/>
    <s v="SENASA"/>
    <m/>
    <x v="6"/>
    <m/>
    <s v="24/25"/>
    <s v="BIENES Y SERVICIOS"/>
    <s v="EFECTIVO Y OTROS ACT LÍQ EQ."/>
  </r>
  <r>
    <x v="5"/>
    <d v="2025-06-23T00:00:00"/>
    <s v="EFECTIVO"/>
    <m/>
    <n v="390026"/>
    <n v="0"/>
    <n v="-390026"/>
    <m/>
    <n v="1170"/>
    <n v="333.35555555555555"/>
    <n v="0"/>
    <s v="-"/>
    <s v="-"/>
    <s v="-"/>
    <x v="5"/>
    <x v="13"/>
    <x v="38"/>
    <s v="HACIENDA"/>
    <s v="FACUNDO DE DIOS "/>
    <m/>
    <x v="6"/>
    <m/>
    <s v="24/25"/>
    <s v="BIENES Y SERVICIOS"/>
    <s v="EFECTIVO Y OTROS ACT LÍQ EQ."/>
  </r>
  <r>
    <x v="6"/>
    <d v="2025-07-08T00:00:00"/>
    <s v="EFECTIVO"/>
    <m/>
    <n v="0"/>
    <n v="1125403"/>
    <n v="1125403"/>
    <m/>
    <n v="1170"/>
    <n v="0"/>
    <n v="961.88290598290598"/>
    <s v="-"/>
    <s v="-"/>
    <s v="-"/>
    <x v="1"/>
    <x v="11"/>
    <x v="26"/>
    <m/>
    <s v="BECERRA ADRIAN"/>
    <m/>
    <x v="10"/>
    <m/>
    <s v="24/25"/>
    <s v="ACREEDORES A COBRAR"/>
    <s v="EFECTIVO Y OTROS ACT LÍQ EQ."/>
  </r>
  <r>
    <x v="6"/>
    <d v="2025-07-08T00:00:00"/>
    <s v="EFECTIVO"/>
    <m/>
    <n v="70000"/>
    <n v="0"/>
    <n v="-70000"/>
    <m/>
    <n v="1170"/>
    <n v="59.82905982905983"/>
    <n v="0"/>
    <s v="-"/>
    <s v="-"/>
    <s v="-"/>
    <x v="1"/>
    <x v="3"/>
    <x v="13"/>
    <m/>
    <s v="BETO RODRIGUEZ"/>
    <m/>
    <x v="3"/>
    <m/>
    <s v="24/25"/>
    <s v="EGRESOS"/>
    <s v="EFECTIVO Y OTROS ACT LÍQ EQ."/>
  </r>
  <r>
    <x v="6"/>
    <d v="2025-07-08T00:00:00"/>
    <s v="EFECTIVO"/>
    <m/>
    <n v="30000"/>
    <n v="0"/>
    <n v="-30000"/>
    <m/>
    <n v="1170"/>
    <n v="25.641025641025642"/>
    <n v="0"/>
    <s v="-"/>
    <s v="-"/>
    <s v="-"/>
    <x v="4"/>
    <x v="9"/>
    <x v="12"/>
    <m/>
    <s v="NORMA TOLEDO"/>
    <m/>
    <x v="1"/>
    <m/>
    <s v="24/25"/>
    <s v="EGRESOS"/>
    <s v="EFECTIVO Y OTROS ACT LÍQ EQ."/>
  </r>
  <r>
    <x v="6"/>
    <d v="2025-07-08T00:00:00"/>
    <s v="EFECTIVO"/>
    <m/>
    <n v="150000"/>
    <n v="0"/>
    <n v="-150000"/>
    <m/>
    <n v="1170"/>
    <n v="128.2051282051282"/>
    <n v="0"/>
    <s v="-"/>
    <s v="-"/>
    <s v="-"/>
    <x v="1"/>
    <x v="3"/>
    <x v="13"/>
    <m/>
    <s v="MARTIN TOLEDO"/>
    <m/>
    <x v="3"/>
    <m/>
    <s v="24/25"/>
    <s v="EGRESOS"/>
    <s v="EFECTIVO Y OTROS ACT LÍQ EQ."/>
  </r>
  <r>
    <x v="6"/>
    <d v="2025-07-08T00:00:00"/>
    <s v="EFECTIVO"/>
    <m/>
    <n v="1862"/>
    <n v="0"/>
    <n v="-1862"/>
    <m/>
    <n v="1170"/>
    <n v="1.5914529914529914"/>
    <n v="0"/>
    <s v="-"/>
    <s v="-"/>
    <s v="-"/>
    <x v="5"/>
    <x v="13"/>
    <x v="39"/>
    <s v="HACIENDA"/>
    <s v="SENASA"/>
    <m/>
    <x v="6"/>
    <m/>
    <s v="24/25"/>
    <s v="BIENES Y SERVICIOS"/>
    <s v="EFECTIVO Y OTROS ACT LÍQ EQ."/>
  </r>
  <r>
    <x v="6"/>
    <d v="2025-07-08T00:00:00"/>
    <s v="EFECTIVO"/>
    <m/>
    <n v="70635"/>
    <n v="0"/>
    <n v="-70635"/>
    <m/>
    <n v="1170"/>
    <n v="60.371794871794869"/>
    <n v="0"/>
    <s v="-"/>
    <s v="-"/>
    <s v="-"/>
    <x v="5"/>
    <x v="13"/>
    <x v="39"/>
    <s v="HACIENDA"/>
    <s v="SENASA"/>
    <m/>
    <x v="6"/>
    <m/>
    <s v="24/25"/>
    <s v="BIENES Y SERVICIOS"/>
    <s v="EFECTIVO Y OTROS ACT LÍQ EQ."/>
  </r>
  <r>
    <x v="6"/>
    <d v="2025-07-08T00:00:00"/>
    <s v="EFECTIVO"/>
    <m/>
    <n v="1552100"/>
    <n v="0"/>
    <n v="-1552100"/>
    <m/>
    <n v="1170"/>
    <n v="1326.5811965811965"/>
    <n v="0"/>
    <s v="-"/>
    <s v="-"/>
    <s v="-"/>
    <x v="1"/>
    <x v="3"/>
    <x v="3"/>
    <s v="SUELDO JUNIO+SAC+EXTRA"/>
    <s v="ANDRES TOLEDO"/>
    <m/>
    <x v="3"/>
    <m/>
    <s v="24/25"/>
    <s v="EGRESOS"/>
    <s v="EFECTIVO Y OTROS ACT LÍQ EQ."/>
  </r>
  <r>
    <x v="6"/>
    <d v="2025-07-16T00:00:00"/>
    <s v="TRANSF. MACRONLINE E-SET D/T"/>
    <m/>
    <n v="0"/>
    <n v="311050"/>
    <n v="311050"/>
    <m/>
    <n v="1170"/>
    <n v="0"/>
    <n v="265.85470085470087"/>
    <s v="-"/>
    <s v="-"/>
    <s v="-"/>
    <x v="1"/>
    <x v="11"/>
    <x v="14"/>
    <s v="PARA PAGO CONCEPTOS"/>
    <s v="BECERRA ADRIAN"/>
    <m/>
    <x v="10"/>
    <m/>
    <s v="24/25"/>
    <s v="EFECTIVO Y OTROS ACT LÍQ EQ."/>
    <s v="DEUDAS FINANCIERAS CP"/>
  </r>
  <r>
    <x v="6"/>
    <d v="2025-07-16T00:00:00"/>
    <s v="TRANSF. MACRONLINE E-SET D/T"/>
    <m/>
    <n v="12000"/>
    <n v="0"/>
    <n v="-12000"/>
    <m/>
    <n v="1170"/>
    <n v="10.256410256410257"/>
    <n v="0"/>
    <s v="-"/>
    <s v="-"/>
    <s v="-"/>
    <x v="1"/>
    <x v="7"/>
    <x v="73"/>
    <s v="MANI"/>
    <m/>
    <m/>
    <x v="1"/>
    <m/>
    <s v="24/25"/>
    <s v="EGRESOS"/>
    <s v="EFECTIVO Y OTROS ACT LÍQ EQ."/>
  </r>
  <r>
    <x v="6"/>
    <d v="2025-07-16T00:00:00"/>
    <s v="TRANSF. MACRONLINE E-SET D/T"/>
    <m/>
    <n v="150000"/>
    <n v="0"/>
    <n v="-150000"/>
    <m/>
    <n v="1170"/>
    <n v="128.2051282051282"/>
    <n v="0"/>
    <s v="-"/>
    <s v="-"/>
    <s v="-"/>
    <x v="1"/>
    <x v="3"/>
    <x v="13"/>
    <m/>
    <s v="MARTIN TOLEDO"/>
    <m/>
    <x v="3"/>
    <m/>
    <s v="24/25"/>
    <s v="EGRESOS"/>
    <s v="EFECTIVO Y OTROS ACT LÍQ EQ."/>
  </r>
  <r>
    <x v="6"/>
    <d v="2025-07-16T00:00:00"/>
    <s v="TRANSF. MACRONLINE E-SET D/T"/>
    <m/>
    <n v="5500"/>
    <n v="0"/>
    <n v="-5500"/>
    <m/>
    <n v="1170"/>
    <n v="4.700854700854701"/>
    <n v="0"/>
    <s v="-"/>
    <s v="-"/>
    <s v="-"/>
    <x v="1"/>
    <x v="3"/>
    <x v="3"/>
    <s v="OSECAC"/>
    <s v="KEVIN TOLEDO"/>
    <m/>
    <x v="3"/>
    <m/>
    <s v="24/25"/>
    <s v="EGRESOS"/>
    <s v="EFECTIVO Y OTROS ACT LÍQ EQ."/>
  </r>
  <r>
    <x v="6"/>
    <d v="2025-07-16T00:00:00"/>
    <s v="TRANSF. MACRONLINE E-SET D/T"/>
    <m/>
    <n v="4372"/>
    <n v="0"/>
    <n v="-4372"/>
    <m/>
    <n v="1170"/>
    <n v="3.7367521367521368"/>
    <n v="0"/>
    <s v="-"/>
    <s v="-"/>
    <s v="-"/>
    <x v="1"/>
    <x v="3"/>
    <x v="3"/>
    <s v="FAESYS"/>
    <s v="KEVIN TOLEDO"/>
    <m/>
    <x v="3"/>
    <m/>
    <s v="24/25"/>
    <s v="EGRESOS"/>
    <s v="EFECTIVO Y OTROS ACT LÍQ EQ."/>
  </r>
  <r>
    <x v="6"/>
    <d v="2025-07-16T00:00:00"/>
    <s v="TRANSF. MACRONLINE E-SET D/T"/>
    <m/>
    <n v="55200"/>
    <n v="0"/>
    <n v="-55200"/>
    <m/>
    <n v="1170"/>
    <n v="47.179487179487182"/>
    <n v="0"/>
    <s v="-"/>
    <s v="-"/>
    <s v="-"/>
    <x v="5"/>
    <x v="13"/>
    <x v="39"/>
    <s v="HACIENDA"/>
    <s v="SENASA"/>
    <m/>
    <x v="6"/>
    <m/>
    <s v="24/25"/>
    <s v="BIENES Y SERVICIOS"/>
    <s v="EFECTIVO Y OTROS ACT LÍQ EQ."/>
  </r>
  <r>
    <x v="6"/>
    <d v="2025-07-16T00:00:00"/>
    <s v="TRANSF. MACRONLINE E-SET D/T"/>
    <m/>
    <n v="55200"/>
    <n v="0"/>
    <n v="-55200"/>
    <m/>
    <n v="1170"/>
    <n v="47.179487179487182"/>
    <n v="0"/>
    <s v="-"/>
    <s v="-"/>
    <s v="-"/>
    <x v="5"/>
    <x v="13"/>
    <x v="39"/>
    <s v="HACIENDA"/>
    <s v="SENASA"/>
    <m/>
    <x v="6"/>
    <m/>
    <s v="24/25"/>
    <s v="BIENES Y SERVICIOS"/>
    <s v="EFECTIVO Y OTROS ACT LÍQ EQ."/>
  </r>
  <r>
    <x v="6"/>
    <d v="2025-07-16T00:00:00"/>
    <s v="TRANSF. MACRONLINE E-SET D/T"/>
    <m/>
    <n v="28778"/>
    <n v="0"/>
    <n v="-28778"/>
    <m/>
    <n v="1170"/>
    <n v="24.596581196581198"/>
    <n v="0"/>
    <s v="-"/>
    <s v="-"/>
    <s v="-"/>
    <x v="1"/>
    <x v="3"/>
    <x v="3"/>
    <s v="UATRE JUNIO"/>
    <s v="ANDRES TOLEDO"/>
    <m/>
    <x v="3"/>
    <m/>
    <s v="24/25"/>
    <s v="EGRESOS"/>
    <s v="EFECTIVO Y OTROS ACT LÍQ EQ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10862E-2270-48C1-87DD-D7D48FD9F1AB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3:F116" firstHeaderRow="0" firstDataRow="1" firstDataCol="1"/>
  <pivotFields count="25">
    <pivotField showAll="0">
      <items count="10">
        <item x="0"/>
        <item x="1"/>
        <item x="2"/>
        <item x="3"/>
        <item m="1" x="8"/>
        <item x="4"/>
        <item x="5"/>
        <item x="6"/>
        <item x="7"/>
        <item t="default"/>
      </items>
    </pivotField>
    <pivotField numFmtId="166" showAll="0"/>
    <pivotField showAll="0"/>
    <pivotField showAll="0"/>
    <pivotField dataField="1" numFmtId="44" showAll="0"/>
    <pivotField dataField="1" numFmtId="44" showAll="0"/>
    <pivotField showAll="0"/>
    <pivotField showAll="0"/>
    <pivotField showAll="0"/>
    <pivotField dataField="1" numFmtId="165" showAll="0"/>
    <pivotField dataField="1" numFmtId="165" showAll="0"/>
    <pivotField showAll="0"/>
    <pivotField showAll="0"/>
    <pivotField showAll="0"/>
    <pivotField axis="axisRow" showAll="0">
      <items count="9">
        <item x="1"/>
        <item x="2"/>
        <item x="3"/>
        <item x="0"/>
        <item x="5"/>
        <item m="1" x="6"/>
        <item x="4"/>
        <item m="1" x="7"/>
        <item t="default"/>
      </items>
    </pivotField>
    <pivotField axis="axisRow" showAll="0">
      <items count="31">
        <item x="12"/>
        <item x="13"/>
        <item x="4"/>
        <item x="7"/>
        <item x="1"/>
        <item x="6"/>
        <item x="14"/>
        <item x="0"/>
        <item x="3"/>
        <item x="8"/>
        <item m="1" x="27"/>
        <item x="2"/>
        <item x="5"/>
        <item m="1" x="28"/>
        <item x="10"/>
        <item x="18"/>
        <item m="1" x="29"/>
        <item x="11"/>
        <item m="1" x="25"/>
        <item x="15"/>
        <item m="1" x="26"/>
        <item x="9"/>
        <item x="19"/>
        <item x="21"/>
        <item sd="0" x="22"/>
        <item x="23"/>
        <item x="17"/>
        <item x="20"/>
        <item x="24"/>
        <item x="16"/>
        <item t="default"/>
      </items>
    </pivotField>
    <pivotField axis="axisRow" showAll="0">
      <items count="92">
        <item m="1" x="90"/>
        <item x="25"/>
        <item x="14"/>
        <item x="4"/>
        <item m="1" x="87"/>
        <item x="36"/>
        <item x="9"/>
        <item m="1" x="86"/>
        <item x="20"/>
        <item x="26"/>
        <item m="1" x="84"/>
        <item x="11"/>
        <item x="46"/>
        <item x="45"/>
        <item x="1"/>
        <item x="6"/>
        <item x="8"/>
        <item x="13"/>
        <item x="34"/>
        <item x="27"/>
        <item x="7"/>
        <item x="22"/>
        <item m="1" x="89"/>
        <item x="10"/>
        <item x="28"/>
        <item m="1" x="74"/>
        <item x="29"/>
        <item x="23"/>
        <item x="47"/>
        <item x="24"/>
        <item x="5"/>
        <item x="3"/>
        <item x="30"/>
        <item x="0"/>
        <item x="21"/>
        <item m="1" x="85"/>
        <item x="35"/>
        <item x="12"/>
        <item x="15"/>
        <item m="1" x="83"/>
        <item m="1" x="88"/>
        <item x="16"/>
        <item x="32"/>
        <item x="50"/>
        <item m="1" x="77"/>
        <item x="2"/>
        <item m="1" x="82"/>
        <item m="1" x="80"/>
        <item m="1" x="81"/>
        <item m="1" x="79"/>
        <item x="52"/>
        <item x="37"/>
        <item x="53"/>
        <item m="1" x="78"/>
        <item x="54"/>
        <item m="1" x="75"/>
        <item x="56"/>
        <item x="39"/>
        <item x="57"/>
        <item x="38"/>
        <item x="72"/>
        <item x="17"/>
        <item x="18"/>
        <item x="40"/>
        <item x="51"/>
        <item x="60"/>
        <item x="62"/>
        <item x="63"/>
        <item x="49"/>
        <item x="58"/>
        <item x="64"/>
        <item x="65"/>
        <item x="66"/>
        <item x="67"/>
        <item m="1" x="76"/>
        <item x="19"/>
        <item x="41"/>
        <item x="59"/>
        <item x="68"/>
        <item x="69"/>
        <item x="70"/>
        <item x="73"/>
        <item x="71"/>
        <item x="33"/>
        <item x="42"/>
        <item x="55"/>
        <item x="43"/>
        <item x="44"/>
        <item x="61"/>
        <item x="31"/>
        <item x="4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14"/>
    <field x="15"/>
    <field x="16"/>
  </rowFields>
  <rowItems count="113">
    <i>
      <x/>
    </i>
    <i r="1">
      <x v="3"/>
    </i>
    <i r="2">
      <x v="6"/>
    </i>
    <i r="2">
      <x v="13"/>
    </i>
    <i r="2">
      <x v="28"/>
    </i>
    <i r="2">
      <x v="81"/>
    </i>
    <i r="1">
      <x v="4"/>
    </i>
    <i r="2">
      <x v="14"/>
    </i>
    <i r="1">
      <x v="5"/>
    </i>
    <i r="2">
      <x v="16"/>
    </i>
    <i r="1">
      <x v="8"/>
    </i>
    <i r="2">
      <x v="17"/>
    </i>
    <i r="2">
      <x v="23"/>
    </i>
    <i r="2">
      <x v="31"/>
    </i>
    <i r="1">
      <x v="11"/>
    </i>
    <i r="2">
      <x v="2"/>
    </i>
    <i r="2">
      <x v="9"/>
    </i>
    <i r="2">
      <x v="27"/>
    </i>
    <i r="2">
      <x v="45"/>
    </i>
    <i r="2">
      <x v="67"/>
    </i>
    <i r="1">
      <x v="12"/>
    </i>
    <i r="2">
      <x v="29"/>
    </i>
    <i r="1">
      <x v="17"/>
    </i>
    <i r="2">
      <x v="2"/>
    </i>
    <i r="2">
      <x v="9"/>
    </i>
    <i r="2">
      <x v="54"/>
    </i>
    <i r="2">
      <x v="60"/>
    </i>
    <i r="1">
      <x v="27"/>
    </i>
    <i r="2">
      <x v="68"/>
    </i>
    <i r="1">
      <x v="28"/>
    </i>
    <i r="2">
      <x v="88"/>
    </i>
    <i>
      <x v="1"/>
    </i>
    <i r="1">
      <x v="2"/>
    </i>
    <i r="2">
      <x v="3"/>
    </i>
    <i r="2">
      <x v="18"/>
    </i>
    <i r="2">
      <x v="19"/>
    </i>
    <i r="2">
      <x v="30"/>
    </i>
    <i r="2">
      <x v="70"/>
    </i>
    <i r="1">
      <x v="19"/>
    </i>
    <i r="2">
      <x v="1"/>
    </i>
    <i>
      <x v="2"/>
    </i>
    <i r="1">
      <x v="6"/>
    </i>
    <i r="2">
      <x v="21"/>
    </i>
    <i r="2">
      <x v="36"/>
    </i>
    <i r="2">
      <x v="63"/>
    </i>
    <i r="2">
      <x v="87"/>
    </i>
    <i r="1">
      <x v="9"/>
    </i>
    <i r="2">
      <x v="11"/>
    </i>
    <i r="2">
      <x v="12"/>
    </i>
    <i r="2">
      <x v="20"/>
    </i>
    <i r="2">
      <x v="36"/>
    </i>
    <i r="1">
      <x v="12"/>
    </i>
    <i r="2">
      <x v="15"/>
    </i>
    <i r="2">
      <x v="20"/>
    </i>
    <i r="2">
      <x v="24"/>
    </i>
    <i r="2">
      <x v="26"/>
    </i>
    <i r="2">
      <x v="29"/>
    </i>
    <i r="2">
      <x v="32"/>
    </i>
    <i r="2">
      <x v="50"/>
    </i>
    <i r="2">
      <x v="51"/>
    </i>
    <i r="2">
      <x v="71"/>
    </i>
    <i>
      <x v="3"/>
    </i>
    <i r="1">
      <x/>
    </i>
    <i r="2">
      <x v="8"/>
    </i>
    <i r="2">
      <x v="41"/>
    </i>
    <i r="2">
      <x v="42"/>
    </i>
    <i r="2">
      <x v="61"/>
    </i>
    <i r="2">
      <x v="62"/>
    </i>
    <i r="2">
      <x v="73"/>
    </i>
    <i r="2">
      <x v="75"/>
    </i>
    <i r="1">
      <x v="7"/>
    </i>
    <i r="2">
      <x v="33"/>
    </i>
    <i r="1">
      <x v="14"/>
    </i>
    <i r="2">
      <x v="38"/>
    </i>
    <i r="2">
      <x v="83"/>
    </i>
    <i r="2">
      <x v="84"/>
    </i>
    <i r="2">
      <x v="85"/>
    </i>
    <i r="1">
      <x v="22"/>
    </i>
    <i r="2">
      <x v="43"/>
    </i>
    <i r="2">
      <x v="90"/>
    </i>
    <i r="1">
      <x v="25"/>
    </i>
    <i r="2">
      <x v="56"/>
    </i>
    <i r="2">
      <x v="58"/>
    </i>
    <i>
      <x v="4"/>
    </i>
    <i r="1">
      <x v="1"/>
    </i>
    <i r="2">
      <x v="3"/>
    </i>
    <i r="2">
      <x v="5"/>
    </i>
    <i r="2">
      <x v="18"/>
    </i>
    <i r="2">
      <x v="34"/>
    </i>
    <i r="2">
      <x v="57"/>
    </i>
    <i r="2">
      <x v="59"/>
    </i>
    <i r="2">
      <x v="65"/>
    </i>
    <i r="2">
      <x v="69"/>
    </i>
    <i r="2">
      <x v="72"/>
    </i>
    <i r="1">
      <x v="23"/>
    </i>
    <i r="2">
      <x v="64"/>
    </i>
    <i r="2">
      <x v="66"/>
    </i>
    <i r="2">
      <x v="82"/>
    </i>
    <i r="1">
      <x v="26"/>
    </i>
    <i r="2">
      <x v="76"/>
    </i>
    <i r="2">
      <x v="77"/>
    </i>
    <i r="2">
      <x v="78"/>
    </i>
    <i r="2">
      <x v="79"/>
    </i>
    <i r="2">
      <x v="80"/>
    </i>
    <i>
      <x v="6"/>
    </i>
    <i r="1">
      <x v="15"/>
    </i>
    <i r="2">
      <x v="86"/>
    </i>
    <i r="1">
      <x v="21"/>
    </i>
    <i r="2">
      <x v="37"/>
    </i>
    <i r="1">
      <x v="24"/>
    </i>
    <i r="1">
      <x v="29"/>
    </i>
    <i r="2">
      <x v="8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EGRESOS" fld="4" baseField="0" baseItem="0" numFmtId="44"/>
    <dataField name="Suma de INGRESOS" fld="5" baseField="0" baseItem="0" numFmtId="44"/>
    <dataField name="Suma de EGRES USD" fld="9" baseField="0" baseItem="0" numFmtId="165"/>
    <dataField name="Suma de INGRES USD" fld="10" baseField="0" baseItem="0" numFmtId="165"/>
  </dataFields>
  <formats count="34">
    <format dxfId="154">
      <pivotArea field="14" type="button" dataOnly="0" labelOnly="1" outline="0" axis="axisRow" fieldPosition="0"/>
    </format>
    <format dxfId="153">
      <pivotArea dataOnly="0" labelOnly="1" outline="0" fieldPosition="0">
        <references count="1">
          <reference field="4294967294" count="3">
            <x v="0"/>
            <x v="2"/>
            <x v="3"/>
          </reference>
        </references>
      </pivotArea>
    </format>
    <format dxfId="152">
      <pivotArea grandRow="1" outline="0" collapsedLevelsAreSubtotals="1" fieldPosition="0"/>
    </format>
    <format dxfId="151">
      <pivotArea dataOnly="0" labelOnly="1" grandRow="1" outline="0" fieldPosition="0"/>
    </format>
    <format dxfId="150">
      <pivotArea collapsedLevelsAreSubtotals="1" fieldPosition="0">
        <references count="1">
          <reference field="14" count="1">
            <x v="0"/>
          </reference>
        </references>
      </pivotArea>
    </format>
    <format dxfId="149">
      <pivotArea collapsedLevelsAreSubtotals="1" fieldPosition="0">
        <references count="2">
          <reference field="14" count="1" selected="0">
            <x v="0"/>
          </reference>
          <reference field="15" count="5">
            <x v="3"/>
            <x v="4"/>
            <x v="5"/>
            <x v="8"/>
            <x v="11"/>
          </reference>
        </references>
      </pivotArea>
    </format>
    <format dxfId="148">
      <pivotArea collapsedLevelsAreSubtotals="1" fieldPosition="0">
        <references count="1">
          <reference field="14" count="1">
            <x v="1"/>
          </reference>
        </references>
      </pivotArea>
    </format>
    <format dxfId="147">
      <pivotArea collapsedLevelsAreSubtotals="1" fieldPosition="0">
        <references count="2">
          <reference field="14" count="1" selected="0">
            <x v="1"/>
          </reference>
          <reference field="15" count="1">
            <x v="2"/>
          </reference>
        </references>
      </pivotArea>
    </format>
    <format dxfId="146">
      <pivotArea field="14" type="button" dataOnly="0" labelOnly="1" outline="0" axis="axisRow" fieldPosition="0"/>
    </format>
    <format dxfId="145">
      <pivotArea dataOnly="0" labelOnly="1" fieldPosition="0">
        <references count="1">
          <reference field="14" count="2">
            <x v="0"/>
            <x v="1"/>
          </reference>
        </references>
      </pivotArea>
    </format>
    <format dxfId="144">
      <pivotArea dataOnly="0" labelOnly="1" fieldPosition="0">
        <references count="2">
          <reference field="14" count="1" selected="0">
            <x v="0"/>
          </reference>
          <reference field="15" count="5">
            <x v="3"/>
            <x v="4"/>
            <x v="5"/>
            <x v="8"/>
            <x v="11"/>
          </reference>
        </references>
      </pivotArea>
    </format>
    <format dxfId="143">
      <pivotArea dataOnly="0" labelOnly="1" fieldPosition="0">
        <references count="2">
          <reference field="14" count="1" selected="0">
            <x v="1"/>
          </reference>
          <reference field="15" count="1">
            <x v="2"/>
          </reference>
        </references>
      </pivotArea>
    </format>
    <format dxfId="142">
      <pivotArea dataOnly="0" labelOnly="1" outline="0" fieldPosition="0">
        <references count="1">
          <reference field="4294967294" count="3">
            <x v="0"/>
            <x v="2"/>
            <x v="3"/>
          </reference>
        </references>
      </pivotArea>
    </format>
    <format dxfId="141">
      <pivotArea dataOnly="0" fieldPosition="0">
        <references count="1">
          <reference field="14" count="1">
            <x v="0"/>
          </reference>
        </references>
      </pivotArea>
    </format>
    <format dxfId="140">
      <pivotArea dataOnly="0" fieldPosition="0">
        <references count="1">
          <reference field="14" count="1">
            <x v="0"/>
          </reference>
        </references>
      </pivotArea>
    </format>
    <format dxfId="139">
      <pivotArea dataOnly="0" fieldPosition="0">
        <references count="1">
          <reference field="14" count="1">
            <x v="1"/>
          </reference>
        </references>
      </pivotArea>
    </format>
    <format dxfId="138">
      <pivotArea dataOnly="0" fieldPosition="0">
        <references count="1">
          <reference field="14" count="1">
            <x v="2"/>
          </reference>
        </references>
      </pivotArea>
    </format>
    <format dxfId="137">
      <pivotArea dataOnly="0" fieldPosition="0">
        <references count="1">
          <reference field="14" count="1">
            <x v="3"/>
          </reference>
        </references>
      </pivotArea>
    </format>
    <format dxfId="136">
      <pivotArea dataOnly="0" fieldPosition="0">
        <references count="1">
          <reference field="14" count="1">
            <x v="4"/>
          </reference>
        </references>
      </pivotArea>
    </format>
    <format dxfId="135">
      <pivotArea type="all" dataOnly="0" outline="0" fieldPosition="0"/>
    </format>
    <format dxfId="134">
      <pivotArea outline="0" collapsedLevelsAreSubtotals="1" fieldPosition="0"/>
    </format>
    <format dxfId="133">
      <pivotArea field="0" type="button" dataOnly="0" labelOnly="1" outline="0"/>
    </format>
    <format dxfId="13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31">
      <pivotArea dataOnly="0" fieldPosition="0">
        <references count="1">
          <reference field="14" count="1">
            <x v="0"/>
          </reference>
        </references>
      </pivotArea>
    </format>
    <format dxfId="130">
      <pivotArea dataOnly="0" fieldPosition="0">
        <references count="1">
          <reference field="14" count="1">
            <x v="1"/>
          </reference>
        </references>
      </pivotArea>
    </format>
    <format dxfId="129">
      <pivotArea dataOnly="0" fieldPosition="0">
        <references count="1">
          <reference field="14" count="1">
            <x v="2"/>
          </reference>
        </references>
      </pivotArea>
    </format>
    <format dxfId="128">
      <pivotArea dataOnly="0" fieldPosition="0">
        <references count="1">
          <reference field="14" count="1">
            <x v="3"/>
          </reference>
        </references>
      </pivotArea>
    </format>
    <format dxfId="127">
      <pivotArea dataOnly="0" fieldPosition="0">
        <references count="1">
          <reference field="14" count="1">
            <x v="4"/>
          </reference>
        </references>
      </pivotArea>
    </format>
    <format dxfId="126">
      <pivotArea dataOnly="0" fieldPosition="0">
        <references count="1">
          <reference field="14" count="1">
            <x v="6"/>
          </reference>
        </references>
      </pivotArea>
    </format>
    <format dxfId="125">
      <pivotArea dataOnly="0" fieldPosition="0">
        <references count="1">
          <reference field="14" count="1">
            <x v="6"/>
          </reference>
        </references>
      </pivotArea>
    </format>
    <format dxfId="124">
      <pivotArea grandRow="1" outline="0" collapsedLevelsAreSubtotals="1" fieldPosition="0"/>
    </format>
    <format dxfId="123">
      <pivotArea dataOnly="0" labelOnly="1" grandRow="1" outline="0" fieldPosition="0"/>
    </format>
    <format dxfId="122">
      <pivotArea field="0" grandRow="1" outline="0" collapsedLevelsAreSubtotals="1">
        <references count="1">
          <reference field="4294967294" count="1" selected="0">
            <x v="0"/>
          </reference>
        </references>
      </pivotArea>
    </format>
    <format dxfId="121">
      <pivotArea field="0" grandRow="1" outline="0" collapsedLevelsAreSubtotals="1">
        <references count="1">
          <reference field="4294967294" count="1" selected="0">
            <x v="1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63EFF1-8BB2-4366-8E39-7F25A56B26CA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B3:I108" firstHeaderRow="1" firstDataRow="2" firstDataCol="1"/>
  <pivotFields count="25">
    <pivotField axis="axisRow" showAll="0">
      <items count="10">
        <item x="0"/>
        <item x="1"/>
        <item x="2"/>
        <item x="3"/>
        <item x="4"/>
        <item x="5"/>
        <item m="1" x="8"/>
        <item x="6"/>
        <item x="7"/>
        <item t="default"/>
      </items>
    </pivotField>
    <pivotField numFmtId="166" showAll="0"/>
    <pivotField showAll="0"/>
    <pivotField showAll="0"/>
    <pivotField dataField="1" numFmtId="44" showAll="0"/>
    <pivotField numFmtId="44" showAll="0"/>
    <pivotField showAll="0"/>
    <pivotField showAll="0"/>
    <pivotField showAll="0"/>
    <pivotField numFmtId="165" showAll="0"/>
    <pivotField numFmtId="165" showAll="0"/>
    <pivotField showAll="0"/>
    <pivotField showAll="0"/>
    <pivotField showAll="0"/>
    <pivotField axis="axisCol" showAll="0">
      <items count="9">
        <item x="1"/>
        <item x="2"/>
        <item x="3"/>
        <item x="0"/>
        <item x="5"/>
        <item m="1" x="6"/>
        <item x="4"/>
        <item m="1" x="7"/>
        <item t="default"/>
      </items>
    </pivotField>
    <pivotField showAll="0"/>
    <pivotField showAll="0"/>
    <pivotField showAll="0"/>
    <pivotField showAll="0"/>
    <pivotField showAll="0"/>
    <pivotField axis="axisRow" showAll="0" sortType="ascending">
      <items count="63">
        <item x="4"/>
        <item x="6"/>
        <item x="7"/>
        <item x="5"/>
        <item x="1"/>
        <item x="0"/>
        <item x="12"/>
        <item x="9"/>
        <item x="19"/>
        <item m="1" x="41"/>
        <item m="1" x="31"/>
        <item x="3"/>
        <item m="1" x="25"/>
        <item x="15"/>
        <item x="13"/>
        <item m="1" x="26"/>
        <item m="1" x="32"/>
        <item x="14"/>
        <item x="21"/>
        <item m="1" x="27"/>
        <item m="1" x="30"/>
        <item x="16"/>
        <item x="8"/>
        <item m="1" x="29"/>
        <item m="1" x="28"/>
        <item x="10"/>
        <item x="17"/>
        <item x="11"/>
        <item x="20"/>
        <item x="23"/>
        <item m="1" x="40"/>
        <item x="2"/>
        <item x="22"/>
        <item x="18"/>
        <item m="1" x="36"/>
        <item m="1" x="35"/>
        <item m="1" x="34"/>
        <item m="1" x="33"/>
        <item m="1" x="37"/>
        <item m="1" x="39"/>
        <item m="1" x="38"/>
        <item m="1" x="51"/>
        <item m="1" x="42"/>
        <item m="1" x="55"/>
        <item m="1" x="44"/>
        <item m="1" x="61"/>
        <item m="1" x="52"/>
        <item m="1" x="47"/>
        <item m="1" x="58"/>
        <item m="1" x="57"/>
        <item m="1" x="43"/>
        <item m="1" x="59"/>
        <item m="1" x="54"/>
        <item m="1" x="60"/>
        <item m="1" x="56"/>
        <item m="1" x="50"/>
        <item m="1" x="48"/>
        <item m="1" x="45"/>
        <item m="1" x="49"/>
        <item m="1" x="53"/>
        <item m="1" x="46"/>
        <item m="1" x="24"/>
        <item t="default"/>
      </items>
    </pivotField>
    <pivotField showAll="0"/>
    <pivotField showAll="0"/>
    <pivotField showAll="0"/>
    <pivotField showAll="0"/>
  </pivotFields>
  <rowFields count="2">
    <field x="0"/>
    <field x="20"/>
  </rowFields>
  <rowItems count="10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1"/>
    </i>
    <i r="1">
      <x v="31"/>
    </i>
    <i>
      <x v="1"/>
    </i>
    <i r="1">
      <x v="1"/>
    </i>
    <i r="1">
      <x v="2"/>
    </i>
    <i r="1">
      <x v="3"/>
    </i>
    <i r="1">
      <x v="4"/>
    </i>
    <i r="1">
      <x v="5"/>
    </i>
    <i r="1">
      <x v="8"/>
    </i>
    <i r="1">
      <x v="11"/>
    </i>
    <i r="1">
      <x v="13"/>
    </i>
    <i r="1">
      <x v="14"/>
    </i>
    <i r="1">
      <x v="17"/>
    </i>
    <i r="1">
      <x v="31"/>
    </i>
    <i>
      <x v="2"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11"/>
    </i>
    <i r="1">
      <x v="13"/>
    </i>
    <i r="1">
      <x v="21"/>
    </i>
    <i r="1">
      <x v="22"/>
    </i>
    <i r="1">
      <x v="25"/>
    </i>
    <i r="1">
      <x v="31"/>
    </i>
    <i>
      <x v="3"/>
    </i>
    <i r="1">
      <x v="1"/>
    </i>
    <i r="1">
      <x v="2"/>
    </i>
    <i r="1">
      <x v="3"/>
    </i>
    <i r="1">
      <x v="4"/>
    </i>
    <i r="1">
      <x v="5"/>
    </i>
    <i r="1">
      <x v="7"/>
    </i>
    <i r="1">
      <x v="11"/>
    </i>
    <i r="1">
      <x v="13"/>
    </i>
    <i r="1">
      <x v="22"/>
    </i>
    <i r="1">
      <x v="25"/>
    </i>
    <i r="1">
      <x v="26"/>
    </i>
    <i r="1">
      <x v="27"/>
    </i>
    <i r="1">
      <x v="28"/>
    </i>
    <i r="1">
      <x v="31"/>
    </i>
    <i>
      <x v="4"/>
    </i>
    <i r="1">
      <x v="1"/>
    </i>
    <i r="1">
      <x v="3"/>
    </i>
    <i r="1">
      <x v="4"/>
    </i>
    <i r="1">
      <x v="5"/>
    </i>
    <i r="1">
      <x v="8"/>
    </i>
    <i r="1">
      <x v="11"/>
    </i>
    <i r="1">
      <x v="13"/>
    </i>
    <i r="1">
      <x v="17"/>
    </i>
    <i r="1">
      <x v="18"/>
    </i>
    <i r="1">
      <x v="22"/>
    </i>
    <i r="1">
      <x v="25"/>
    </i>
    <i r="1">
      <x v="27"/>
    </i>
    <i r="1">
      <x v="31"/>
    </i>
    <i>
      <x v="5"/>
    </i>
    <i r="1">
      <x v="1"/>
    </i>
    <i r="1">
      <x v="3"/>
    </i>
    <i r="1">
      <x v="4"/>
    </i>
    <i r="1">
      <x v="5"/>
    </i>
    <i r="1">
      <x v="7"/>
    </i>
    <i r="1">
      <x v="8"/>
    </i>
    <i r="1">
      <x v="11"/>
    </i>
    <i r="1">
      <x v="13"/>
    </i>
    <i r="1">
      <x v="14"/>
    </i>
    <i r="1">
      <x v="17"/>
    </i>
    <i r="1">
      <x v="18"/>
    </i>
    <i r="1">
      <x v="22"/>
    </i>
    <i r="1">
      <x v="25"/>
    </i>
    <i r="1">
      <x v="27"/>
    </i>
    <i r="1">
      <x v="31"/>
    </i>
    <i r="1">
      <x v="32"/>
    </i>
    <i r="1">
      <x v="33"/>
    </i>
    <i>
      <x v="7"/>
    </i>
    <i r="1">
      <x v="1"/>
    </i>
    <i r="1">
      <x v="3"/>
    </i>
    <i r="1">
      <x v="4"/>
    </i>
    <i r="1">
      <x v="5"/>
    </i>
    <i r="1">
      <x v="11"/>
    </i>
    <i r="1">
      <x v="13"/>
    </i>
    <i r="1">
      <x v="14"/>
    </i>
    <i r="1">
      <x v="17"/>
    </i>
    <i r="1">
      <x v="18"/>
    </i>
    <i r="1">
      <x v="25"/>
    </i>
    <i r="1">
      <x v="29"/>
    </i>
    <i r="1">
      <x v="31"/>
    </i>
    <i r="1">
      <x v="32"/>
    </i>
    <i r="1">
      <x v="33"/>
    </i>
    <i>
      <x v="8"/>
    </i>
    <i r="1">
      <x v="1"/>
    </i>
    <i r="1">
      <x v="4"/>
    </i>
    <i t="grand">
      <x/>
    </i>
  </rowItems>
  <colFields count="1">
    <field x="14"/>
  </colFields>
  <colItems count="7">
    <i>
      <x/>
    </i>
    <i>
      <x v="1"/>
    </i>
    <i>
      <x v="2"/>
    </i>
    <i>
      <x v="3"/>
    </i>
    <i>
      <x v="4"/>
    </i>
    <i>
      <x v="6"/>
    </i>
    <i t="grand">
      <x/>
    </i>
  </colItems>
  <dataFields count="1">
    <dataField name="Suma de EGRESOS" fld="4" baseField="0" baseItem="0" numFmtId="44"/>
  </dataFields>
  <formats count="45">
    <format dxfId="83">
      <pivotArea grandRow="1" outline="0" collapsedLevelsAreSubtotals="1" fieldPosition="0"/>
    </format>
    <format dxfId="82">
      <pivotArea dataOnly="0" labelOnly="1" grandRow="1" outline="0" fieldPosition="0"/>
    </format>
    <format dxfId="81">
      <pivotArea grandCol="1" outline="0" collapsedLevelsAreSubtotals="1" fieldPosition="0"/>
    </format>
    <format dxfId="80">
      <pivotArea dataOnly="0" labelOnly="1" fieldPosition="0">
        <references count="1">
          <reference field="20" count="0"/>
        </references>
      </pivotArea>
    </format>
    <format dxfId="79">
      <pivotArea dataOnly="0" labelOnly="1" grandCol="1" outline="0" fieldPosition="0"/>
    </format>
    <format dxfId="78">
      <pivotArea collapsedLevelsAreSubtotals="1" fieldPosition="0">
        <references count="1">
          <reference field="20" count="0"/>
        </references>
      </pivotArea>
    </format>
    <format dxfId="77">
      <pivotArea type="origin" dataOnly="0" labelOnly="1" outline="0" fieldPosition="0"/>
    </format>
    <format dxfId="76">
      <pivotArea field="14" type="button" dataOnly="0" labelOnly="1" outline="0" axis="axisCol" fieldPosition="0"/>
    </format>
    <format dxfId="75">
      <pivotArea type="topRight" dataOnly="0" labelOnly="1" outline="0" fieldPosition="0"/>
    </format>
    <format dxfId="74">
      <pivotArea field="20" type="button" dataOnly="0" labelOnly="1" outline="0" axis="axisRow" fieldPosition="1"/>
    </format>
    <format dxfId="73">
      <pivotArea dataOnly="0" labelOnly="1" fieldPosition="0">
        <references count="1">
          <reference field="20" count="0"/>
        </references>
      </pivotArea>
    </format>
    <format dxfId="72">
      <pivotArea dataOnly="0" labelOnly="1" grandCol="1" outline="0" fieldPosition="0"/>
    </format>
    <format dxfId="71">
      <pivotArea type="all" dataOnly="0" outline="0" fieldPosition="0"/>
    </format>
    <format dxfId="70">
      <pivotArea type="origin" dataOnly="0" labelOnly="1" outline="0" fieldPosition="0"/>
    </format>
    <format dxfId="69">
      <pivotArea type="origin" dataOnly="0" labelOnly="1" outline="0" fieldPosition="0"/>
    </format>
    <format dxfId="68">
      <pivotArea type="origin" dataOnly="0" labelOnly="1" outline="0" fieldPosition="0"/>
    </format>
    <format dxfId="67">
      <pivotArea type="all" dataOnly="0" outline="0" fieldPosition="0"/>
    </format>
    <format dxfId="66">
      <pivotArea outline="0" collapsedLevelsAreSubtotals="1" fieldPosition="0"/>
    </format>
    <format dxfId="65">
      <pivotArea type="origin" dataOnly="0" labelOnly="1" outline="0" fieldPosition="0"/>
    </format>
    <format dxfId="64">
      <pivotArea field="14" type="button" dataOnly="0" labelOnly="1" outline="0" axis="axisCol" fieldPosition="0"/>
    </format>
    <format dxfId="63">
      <pivotArea type="topRight" dataOnly="0" labelOnly="1" outline="0" fieldPosition="0"/>
    </format>
    <format dxfId="62">
      <pivotArea field="20" type="button" dataOnly="0" labelOnly="1" outline="0" axis="axisRow" fieldPosition="1"/>
    </format>
    <format dxfId="61">
      <pivotArea dataOnly="0" labelOnly="1" fieldPosition="0">
        <references count="1">
          <reference field="20" count="0"/>
        </references>
      </pivotArea>
    </format>
    <format dxfId="60">
      <pivotArea dataOnly="0" labelOnly="1" grandRow="1" outline="0" fieldPosition="0"/>
    </format>
    <format dxfId="59">
      <pivotArea dataOnly="0" labelOnly="1" fieldPosition="0">
        <references count="1">
          <reference field="14" count="0"/>
        </references>
      </pivotArea>
    </format>
    <format dxfId="58">
      <pivotArea dataOnly="0" labelOnly="1" grandCol="1" outline="0" fieldPosition="0"/>
    </format>
    <format dxfId="57">
      <pivotArea grandRow="1" grandCol="1" outline="0" collapsedLevelsAreSubtotals="1" fieldPosition="0"/>
    </format>
    <format dxfId="56">
      <pivotArea dataOnly="0" labelOnly="1" fieldPosition="0">
        <references count="1">
          <reference field="0" count="1">
            <x v="0"/>
          </reference>
        </references>
      </pivotArea>
    </format>
    <format dxfId="55">
      <pivotArea dataOnly="0" labelOnly="1" fieldPosition="0">
        <references count="2">
          <reference field="0" count="1" selected="0">
            <x v="0"/>
          </reference>
          <reference field="20" count="11">
            <x v="0"/>
            <x v="1"/>
            <x v="2"/>
            <x v="3"/>
            <x v="4"/>
            <x v="5"/>
            <x v="6"/>
            <x v="7"/>
            <x v="8"/>
            <x v="11"/>
            <x v="31"/>
          </reference>
        </references>
      </pivotArea>
    </format>
    <format dxfId="54">
      <pivotArea dataOnly="0" labelOnly="1" fieldPosition="0">
        <references count="1">
          <reference field="14" count="0"/>
        </references>
      </pivotArea>
    </format>
    <format dxfId="53">
      <pivotArea dataOnly="0" labelOnly="1" grandCol="1" outline="0" fieldPosition="0"/>
    </format>
    <format dxfId="52">
      <pivotArea dataOnly="0" fieldPosition="0">
        <references count="1">
          <reference field="0" count="1">
            <x v="1"/>
          </reference>
        </references>
      </pivotArea>
    </format>
    <format dxfId="51">
      <pivotArea dataOnly="0" labelOnly="1" fieldPosition="0">
        <references count="2">
          <reference field="0" count="1" selected="0">
            <x v="1"/>
          </reference>
          <reference field="20" count="11">
            <x v="1"/>
            <x v="2"/>
            <x v="3"/>
            <x v="4"/>
            <x v="5"/>
            <x v="8"/>
            <x v="11"/>
            <x v="13"/>
            <x v="14"/>
            <x v="17"/>
            <x v="31"/>
          </reference>
        </references>
      </pivotArea>
    </format>
    <format dxfId="50">
      <pivotArea dataOnly="0" fieldPosition="0">
        <references count="1">
          <reference field="0" count="1">
            <x v="2"/>
          </reference>
        </references>
      </pivotArea>
    </format>
    <format dxfId="49">
      <pivotArea dataOnly="0" labelOnly="1" fieldPosition="0">
        <references count="2">
          <reference field="0" count="1" selected="0">
            <x v="2"/>
          </reference>
          <reference field="20" count="13">
            <x v="1"/>
            <x v="2"/>
            <x v="3"/>
            <x v="4"/>
            <x v="5"/>
            <x v="7"/>
            <x v="8"/>
            <x v="11"/>
            <x v="13"/>
            <x v="21"/>
            <x v="22"/>
            <x v="25"/>
            <x v="31"/>
          </reference>
        </references>
      </pivotArea>
    </format>
    <format dxfId="48">
      <pivotArea dataOnly="0" fieldPosition="0">
        <references count="1">
          <reference field="0" count="1">
            <x v="3"/>
          </reference>
        </references>
      </pivotArea>
    </format>
    <format dxfId="47">
      <pivotArea dataOnly="0" labelOnly="1" fieldPosition="0">
        <references count="2">
          <reference field="0" count="1" selected="0">
            <x v="3"/>
          </reference>
          <reference field="20" count="14">
            <x v="1"/>
            <x v="2"/>
            <x v="3"/>
            <x v="4"/>
            <x v="5"/>
            <x v="7"/>
            <x v="11"/>
            <x v="13"/>
            <x v="22"/>
            <x v="25"/>
            <x v="26"/>
            <x v="27"/>
            <x v="28"/>
            <x v="31"/>
          </reference>
        </references>
      </pivotArea>
    </format>
    <format dxfId="46">
      <pivotArea dataOnly="0" fieldPosition="0">
        <references count="1">
          <reference field="0" count="1">
            <x v="4"/>
          </reference>
        </references>
      </pivotArea>
    </format>
    <format dxfId="45">
      <pivotArea dataOnly="0" labelOnly="1" fieldPosition="0">
        <references count="2">
          <reference field="0" count="1" selected="0">
            <x v="4"/>
          </reference>
          <reference field="20" count="13">
            <x v="1"/>
            <x v="3"/>
            <x v="4"/>
            <x v="5"/>
            <x v="8"/>
            <x v="11"/>
            <x v="13"/>
            <x v="17"/>
            <x v="18"/>
            <x v="22"/>
            <x v="25"/>
            <x v="27"/>
            <x v="31"/>
          </reference>
        </references>
      </pivotArea>
    </format>
    <format dxfId="44">
      <pivotArea dataOnly="0" fieldPosition="0">
        <references count="1">
          <reference field="0" count="1">
            <x v="5"/>
          </reference>
        </references>
      </pivotArea>
    </format>
    <format dxfId="43">
      <pivotArea dataOnly="0" labelOnly="1" fieldPosition="0">
        <references count="2">
          <reference field="0" count="1" selected="0">
            <x v="5"/>
          </reference>
          <reference field="20" count="15">
            <x v="1"/>
            <x v="3"/>
            <x v="4"/>
            <x v="5"/>
            <x v="7"/>
            <x v="8"/>
            <x v="11"/>
            <x v="13"/>
            <x v="14"/>
            <x v="17"/>
            <x v="18"/>
            <x v="22"/>
            <x v="25"/>
            <x v="31"/>
            <x v="32"/>
          </reference>
        </references>
      </pivotArea>
    </format>
    <format dxfId="42">
      <pivotArea dataOnly="0" labelOnly="1" fieldPosition="0">
        <references count="2">
          <reference field="0" count="1" selected="0">
            <x v="5"/>
          </reference>
          <reference field="20" count="4">
            <x v="27"/>
            <x v="31"/>
            <x v="32"/>
            <x v="33"/>
          </reference>
        </references>
      </pivotArea>
    </format>
    <format dxfId="41">
      <pivotArea dataOnly="0" labelOnly="1" fieldPosition="0">
        <references count="2">
          <reference field="0" count="1" selected="0">
            <x v="7"/>
          </reference>
          <reference field="20" count="15">
            <x v="1"/>
            <x v="3"/>
            <x v="4"/>
            <x v="5"/>
            <x v="11"/>
            <x v="13"/>
            <x v="14"/>
            <x v="17"/>
            <x v="18"/>
            <x v="25"/>
            <x v="29"/>
            <x v="31"/>
            <x v="32"/>
            <x v="33"/>
            <x v="61"/>
          </reference>
        </references>
      </pivotArea>
    </format>
    <format dxfId="40">
      <pivotArea dataOnly="0" labelOnly="1" fieldPosition="0">
        <references count="1">
          <reference field="0" count="1">
            <x v="7"/>
          </reference>
        </references>
      </pivotArea>
    </format>
    <format dxfId="39">
      <pivotArea collapsedLevelsAreSubtotals="1" fieldPosition="0">
        <references count="2">
          <reference field="0" count="1">
            <x v="0"/>
          </reference>
          <reference field="14" count="0" selected="0"/>
        </references>
      </pivotArea>
    </format>
  </format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6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9C3347-C6B7-43D6-ADF0-4CA96FF46852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M3:T108" firstHeaderRow="1" firstDataRow="2" firstDataCol="1"/>
  <pivotFields count="25">
    <pivotField axis="axisRow" showAll="0">
      <items count="10">
        <item x="0"/>
        <item x="1"/>
        <item x="2"/>
        <item x="3"/>
        <item x="4"/>
        <item x="5"/>
        <item m="1" x="8"/>
        <item x="6"/>
        <item x="7"/>
        <item t="default"/>
      </items>
    </pivotField>
    <pivotField numFmtId="166" showAll="0"/>
    <pivotField showAll="0"/>
    <pivotField showAll="0"/>
    <pivotField numFmtId="44" showAll="0"/>
    <pivotField dataField="1" numFmtId="44" showAll="0"/>
    <pivotField showAll="0"/>
    <pivotField showAll="0"/>
    <pivotField numFmtId="44" showAll="0"/>
    <pivotField numFmtId="165" showAll="0"/>
    <pivotField numFmtId="165" showAll="0"/>
    <pivotField showAll="0"/>
    <pivotField showAll="0"/>
    <pivotField showAll="0"/>
    <pivotField axis="axisCol" showAll="0">
      <items count="9">
        <item x="1"/>
        <item x="2"/>
        <item x="3"/>
        <item x="0"/>
        <item x="5"/>
        <item m="1" x="6"/>
        <item x="4"/>
        <item m="1" x="7"/>
        <item t="default"/>
      </items>
    </pivotField>
    <pivotField showAll="0"/>
    <pivotField showAll="0"/>
    <pivotField showAll="0"/>
    <pivotField showAll="0"/>
    <pivotField showAll="0"/>
    <pivotField axis="axisRow" showAll="0" sortType="ascending">
      <items count="63">
        <item x="4"/>
        <item x="6"/>
        <item x="7"/>
        <item x="5"/>
        <item x="1"/>
        <item x="0"/>
        <item x="12"/>
        <item x="9"/>
        <item x="19"/>
        <item m="1" x="41"/>
        <item m="1" x="31"/>
        <item x="3"/>
        <item m="1" x="25"/>
        <item x="15"/>
        <item x="13"/>
        <item m="1" x="26"/>
        <item m="1" x="32"/>
        <item x="14"/>
        <item x="21"/>
        <item m="1" x="27"/>
        <item m="1" x="30"/>
        <item x="16"/>
        <item x="8"/>
        <item m="1" x="29"/>
        <item m="1" x="28"/>
        <item x="10"/>
        <item x="17"/>
        <item x="11"/>
        <item x="20"/>
        <item x="23"/>
        <item m="1" x="40"/>
        <item x="2"/>
        <item x="22"/>
        <item x="18"/>
        <item m="1" x="36"/>
        <item m="1" x="35"/>
        <item m="1" x="34"/>
        <item m="1" x="33"/>
        <item m="1" x="37"/>
        <item m="1" x="39"/>
        <item m="1" x="38"/>
        <item m="1" x="51"/>
        <item m="1" x="42"/>
        <item m="1" x="55"/>
        <item m="1" x="44"/>
        <item m="1" x="61"/>
        <item m="1" x="52"/>
        <item m="1" x="47"/>
        <item m="1" x="58"/>
        <item m="1" x="57"/>
        <item m="1" x="43"/>
        <item m="1" x="59"/>
        <item m="1" x="54"/>
        <item m="1" x="60"/>
        <item m="1" x="56"/>
        <item m="1" x="50"/>
        <item m="1" x="48"/>
        <item m="1" x="45"/>
        <item m="1" x="49"/>
        <item m="1" x="53"/>
        <item m="1" x="46"/>
        <item m="1" x="24"/>
        <item t="default"/>
      </items>
    </pivotField>
    <pivotField showAll="0"/>
    <pivotField showAll="0"/>
    <pivotField showAll="0"/>
    <pivotField showAll="0"/>
  </pivotFields>
  <rowFields count="2">
    <field x="0"/>
    <field x="20"/>
  </rowFields>
  <rowItems count="10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1"/>
    </i>
    <i r="1">
      <x v="31"/>
    </i>
    <i>
      <x v="1"/>
    </i>
    <i r="1">
      <x v="1"/>
    </i>
    <i r="1">
      <x v="2"/>
    </i>
    <i r="1">
      <x v="3"/>
    </i>
    <i r="1">
      <x v="4"/>
    </i>
    <i r="1">
      <x v="5"/>
    </i>
    <i r="1">
      <x v="8"/>
    </i>
    <i r="1">
      <x v="11"/>
    </i>
    <i r="1">
      <x v="13"/>
    </i>
    <i r="1">
      <x v="14"/>
    </i>
    <i r="1">
      <x v="17"/>
    </i>
    <i r="1">
      <x v="31"/>
    </i>
    <i>
      <x v="2"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11"/>
    </i>
    <i r="1">
      <x v="13"/>
    </i>
    <i r="1">
      <x v="21"/>
    </i>
    <i r="1">
      <x v="22"/>
    </i>
    <i r="1">
      <x v="25"/>
    </i>
    <i r="1">
      <x v="31"/>
    </i>
    <i>
      <x v="3"/>
    </i>
    <i r="1">
      <x v="1"/>
    </i>
    <i r="1">
      <x v="2"/>
    </i>
    <i r="1">
      <x v="3"/>
    </i>
    <i r="1">
      <x v="4"/>
    </i>
    <i r="1">
      <x v="5"/>
    </i>
    <i r="1">
      <x v="7"/>
    </i>
    <i r="1">
      <x v="11"/>
    </i>
    <i r="1">
      <x v="13"/>
    </i>
    <i r="1">
      <x v="22"/>
    </i>
    <i r="1">
      <x v="25"/>
    </i>
    <i r="1">
      <x v="26"/>
    </i>
    <i r="1">
      <x v="27"/>
    </i>
    <i r="1">
      <x v="28"/>
    </i>
    <i r="1">
      <x v="31"/>
    </i>
    <i>
      <x v="4"/>
    </i>
    <i r="1">
      <x v="1"/>
    </i>
    <i r="1">
      <x v="3"/>
    </i>
    <i r="1">
      <x v="4"/>
    </i>
    <i r="1">
      <x v="5"/>
    </i>
    <i r="1">
      <x v="8"/>
    </i>
    <i r="1">
      <x v="11"/>
    </i>
    <i r="1">
      <x v="13"/>
    </i>
    <i r="1">
      <x v="17"/>
    </i>
    <i r="1">
      <x v="18"/>
    </i>
    <i r="1">
      <x v="22"/>
    </i>
    <i r="1">
      <x v="25"/>
    </i>
    <i r="1">
      <x v="27"/>
    </i>
    <i r="1">
      <x v="31"/>
    </i>
    <i>
      <x v="5"/>
    </i>
    <i r="1">
      <x v="1"/>
    </i>
    <i r="1">
      <x v="3"/>
    </i>
    <i r="1">
      <x v="4"/>
    </i>
    <i r="1">
      <x v="5"/>
    </i>
    <i r="1">
      <x v="7"/>
    </i>
    <i r="1">
      <x v="8"/>
    </i>
    <i r="1">
      <x v="11"/>
    </i>
    <i r="1">
      <x v="13"/>
    </i>
    <i r="1">
      <x v="14"/>
    </i>
    <i r="1">
      <x v="17"/>
    </i>
    <i r="1">
      <x v="18"/>
    </i>
    <i r="1">
      <x v="22"/>
    </i>
    <i r="1">
      <x v="25"/>
    </i>
    <i r="1">
      <x v="27"/>
    </i>
    <i r="1">
      <x v="31"/>
    </i>
    <i r="1">
      <x v="32"/>
    </i>
    <i r="1">
      <x v="33"/>
    </i>
    <i>
      <x v="7"/>
    </i>
    <i r="1">
      <x v="1"/>
    </i>
    <i r="1">
      <x v="3"/>
    </i>
    <i r="1">
      <x v="4"/>
    </i>
    <i r="1">
      <x v="5"/>
    </i>
    <i r="1">
      <x v="11"/>
    </i>
    <i r="1">
      <x v="13"/>
    </i>
    <i r="1">
      <x v="14"/>
    </i>
    <i r="1">
      <x v="17"/>
    </i>
    <i r="1">
      <x v="18"/>
    </i>
    <i r="1">
      <x v="25"/>
    </i>
    <i r="1">
      <x v="29"/>
    </i>
    <i r="1">
      <x v="31"/>
    </i>
    <i r="1">
      <x v="32"/>
    </i>
    <i r="1">
      <x v="33"/>
    </i>
    <i>
      <x v="8"/>
    </i>
    <i r="1">
      <x v="1"/>
    </i>
    <i r="1">
      <x v="4"/>
    </i>
    <i t="grand">
      <x/>
    </i>
  </rowItems>
  <colFields count="1">
    <field x="14"/>
  </colFields>
  <colItems count="7">
    <i>
      <x/>
    </i>
    <i>
      <x v="1"/>
    </i>
    <i>
      <x v="2"/>
    </i>
    <i>
      <x v="3"/>
    </i>
    <i>
      <x v="4"/>
    </i>
    <i>
      <x v="6"/>
    </i>
    <i t="grand">
      <x/>
    </i>
  </colItems>
  <dataFields count="1">
    <dataField name="Suma de INGRESOS" fld="5" baseField="0" baseItem="0" numFmtId="44"/>
  </dataFields>
  <formats count="37">
    <format dxfId="120">
      <pivotArea dataOnly="0" labelOnly="1" fieldPosition="0">
        <references count="1">
          <reference field="20" count="0"/>
        </references>
      </pivotArea>
    </format>
    <format dxfId="119">
      <pivotArea dataOnly="0" labelOnly="1" fieldPosition="0">
        <references count="1">
          <reference field="14" count="0"/>
        </references>
      </pivotArea>
    </format>
    <format dxfId="118">
      <pivotArea dataOnly="0" labelOnly="1" grandCol="1" outline="0" fieldPosition="0"/>
    </format>
    <format dxfId="117">
      <pivotArea grandCol="1" outline="0" collapsedLevelsAreSubtotals="1" fieldPosition="0"/>
    </format>
    <format dxfId="116">
      <pivotArea collapsedLevelsAreSubtotals="1" fieldPosition="0">
        <references count="1">
          <reference field="20" count="0"/>
        </references>
      </pivotArea>
    </format>
    <format dxfId="115">
      <pivotArea type="origin" dataOnly="0" labelOnly="1" outline="0" fieldPosition="0"/>
    </format>
    <format dxfId="114">
      <pivotArea field="14" type="button" dataOnly="0" labelOnly="1" outline="0" axis="axisCol" fieldPosition="0"/>
    </format>
    <format dxfId="113">
      <pivotArea type="topRight" dataOnly="0" labelOnly="1" outline="0" fieldPosition="0"/>
    </format>
    <format dxfId="112">
      <pivotArea field="20" type="button" dataOnly="0" labelOnly="1" outline="0" axis="axisRow" fieldPosition="1"/>
    </format>
    <format dxfId="111">
      <pivotArea dataOnly="0" labelOnly="1" fieldPosition="0">
        <references count="1">
          <reference field="20" count="0"/>
        </references>
      </pivotArea>
    </format>
    <format dxfId="110">
      <pivotArea dataOnly="0" labelOnly="1" fieldPosition="0">
        <references count="1">
          <reference field="14" count="0"/>
        </references>
      </pivotArea>
    </format>
    <format dxfId="109">
      <pivotArea dataOnly="0" labelOnly="1" grandCol="1" outline="0" fieldPosition="0"/>
    </format>
    <format dxfId="108">
      <pivotArea collapsedLevelsAreSubtotals="1" fieldPosition="0">
        <references count="1">
          <reference field="20" count="6">
            <x v="46"/>
            <x v="47"/>
            <x v="50"/>
            <x v="55"/>
            <x v="57"/>
            <x v="60"/>
          </reference>
        </references>
      </pivotArea>
    </format>
    <format dxfId="107">
      <pivotArea dataOnly="0" grandRow="1" fieldPosition="0"/>
    </format>
    <format dxfId="106">
      <pivotArea type="all" dataOnly="0" outline="0" fieldPosition="0"/>
    </format>
    <format dxfId="105">
      <pivotArea type="origin" dataOnly="0" labelOnly="1" outline="0" fieldPosition="0"/>
    </format>
    <format dxfId="104">
      <pivotArea type="origin" dataOnly="0" labelOnly="1" outline="0" fieldPosition="0"/>
    </format>
    <format dxfId="103">
      <pivotArea type="origin" dataOnly="0" labelOnly="1" outline="0" fieldPosition="0"/>
    </format>
    <format dxfId="102">
      <pivotArea type="all" dataOnly="0" outline="0" fieldPosition="0"/>
    </format>
    <format dxfId="101">
      <pivotArea outline="0" collapsedLevelsAreSubtotals="1" fieldPosition="0"/>
    </format>
    <format dxfId="100">
      <pivotArea type="origin" dataOnly="0" labelOnly="1" outline="0" fieldPosition="0"/>
    </format>
    <format dxfId="99">
      <pivotArea field="14" type="button" dataOnly="0" labelOnly="1" outline="0" axis="axisCol" fieldPosition="0"/>
    </format>
    <format dxfId="98">
      <pivotArea type="topRight" dataOnly="0" labelOnly="1" outline="0" fieldPosition="0"/>
    </format>
    <format dxfId="97">
      <pivotArea field="20" type="button" dataOnly="0" labelOnly="1" outline="0" axis="axisRow" fieldPosition="1"/>
    </format>
    <format dxfId="96">
      <pivotArea dataOnly="0" labelOnly="1" fieldPosition="0">
        <references count="1">
          <reference field="20" count="0"/>
        </references>
      </pivotArea>
    </format>
    <format dxfId="95">
      <pivotArea dataOnly="0" labelOnly="1" grandRow="1" outline="0" fieldPosition="0"/>
    </format>
    <format dxfId="94">
      <pivotArea dataOnly="0" labelOnly="1" fieldPosition="0">
        <references count="1">
          <reference field="14" count="0"/>
        </references>
      </pivotArea>
    </format>
    <format dxfId="93">
      <pivotArea dataOnly="0" labelOnly="1" grandCol="1" outline="0" fieldPosition="0"/>
    </format>
    <format dxfId="92">
      <pivotArea grandRow="1" grandCol="1" outline="0" collapsedLevelsAreSubtotals="1" fieldPosition="0"/>
    </format>
    <format dxfId="91">
      <pivotArea dataOnly="0" labelOnly="1" fieldPosition="0">
        <references count="2">
          <reference field="0" count="1" selected="0">
            <x v="0"/>
          </reference>
          <reference field="20" count="11">
            <x v="0"/>
            <x v="1"/>
            <x v="2"/>
            <x v="3"/>
            <x v="4"/>
            <x v="5"/>
            <x v="6"/>
            <x v="7"/>
            <x v="8"/>
            <x v="11"/>
            <x v="31"/>
          </reference>
        </references>
      </pivotArea>
    </format>
    <format dxfId="90">
      <pivotArea dataOnly="0" labelOnly="1" fieldPosition="0">
        <references count="2">
          <reference field="0" count="1" selected="0">
            <x v="1"/>
          </reference>
          <reference field="20" count="11">
            <x v="1"/>
            <x v="2"/>
            <x v="3"/>
            <x v="4"/>
            <x v="5"/>
            <x v="8"/>
            <x v="11"/>
            <x v="13"/>
            <x v="14"/>
            <x v="17"/>
            <x v="31"/>
          </reference>
        </references>
      </pivotArea>
    </format>
    <format dxfId="89">
      <pivotArea dataOnly="0" labelOnly="1" fieldPosition="0">
        <references count="2">
          <reference field="0" count="1" selected="0">
            <x v="2"/>
          </reference>
          <reference field="20" count="13">
            <x v="1"/>
            <x v="2"/>
            <x v="3"/>
            <x v="4"/>
            <x v="5"/>
            <x v="7"/>
            <x v="8"/>
            <x v="11"/>
            <x v="13"/>
            <x v="21"/>
            <x v="22"/>
            <x v="25"/>
            <x v="31"/>
          </reference>
        </references>
      </pivotArea>
    </format>
    <format dxfId="88">
      <pivotArea dataOnly="0" labelOnly="1" fieldPosition="0">
        <references count="2">
          <reference field="0" count="1" selected="0">
            <x v="3"/>
          </reference>
          <reference field="20" count="14">
            <x v="1"/>
            <x v="2"/>
            <x v="3"/>
            <x v="4"/>
            <x v="5"/>
            <x v="7"/>
            <x v="11"/>
            <x v="13"/>
            <x v="22"/>
            <x v="25"/>
            <x v="26"/>
            <x v="27"/>
            <x v="28"/>
            <x v="31"/>
          </reference>
        </references>
      </pivotArea>
    </format>
    <format dxfId="87">
      <pivotArea dataOnly="0" labelOnly="1" fieldPosition="0">
        <references count="2">
          <reference field="0" count="1" selected="0">
            <x v="4"/>
          </reference>
          <reference field="20" count="13">
            <x v="1"/>
            <x v="3"/>
            <x v="4"/>
            <x v="5"/>
            <x v="8"/>
            <x v="11"/>
            <x v="13"/>
            <x v="17"/>
            <x v="18"/>
            <x v="22"/>
            <x v="25"/>
            <x v="27"/>
            <x v="31"/>
          </reference>
        </references>
      </pivotArea>
    </format>
    <format dxfId="86">
      <pivotArea dataOnly="0" labelOnly="1" fieldPosition="0">
        <references count="2">
          <reference field="0" count="1" selected="0">
            <x v="5"/>
          </reference>
          <reference field="20" count="17">
            <x v="1"/>
            <x v="3"/>
            <x v="4"/>
            <x v="5"/>
            <x v="7"/>
            <x v="8"/>
            <x v="11"/>
            <x v="13"/>
            <x v="14"/>
            <x v="17"/>
            <x v="18"/>
            <x v="22"/>
            <x v="25"/>
            <x v="27"/>
            <x v="31"/>
            <x v="32"/>
            <x v="33"/>
          </reference>
        </references>
      </pivotArea>
    </format>
    <format dxfId="85">
      <pivotArea dataOnly="0" labelOnly="1" fieldPosition="0">
        <references count="2">
          <reference field="0" count="1" selected="0">
            <x v="7"/>
          </reference>
          <reference field="20" count="15">
            <x v="1"/>
            <x v="3"/>
            <x v="4"/>
            <x v="5"/>
            <x v="11"/>
            <x v="13"/>
            <x v="14"/>
            <x v="17"/>
            <x v="18"/>
            <x v="25"/>
            <x v="29"/>
            <x v="31"/>
            <x v="32"/>
            <x v="33"/>
            <x v="61"/>
          </reference>
        </references>
      </pivotArea>
    </format>
    <format dxfId="84">
      <pivotArea dataOnly="0" labelOnly="1" fieldPosition="0">
        <references count="1">
          <reference field="0" count="0"/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F4BB5B-153B-4CF9-ADC7-D0451CA37337}" name="Tabla3" displayName="Tabla3" ref="A3:Y1436" totalsRowShown="0" headerRowDxfId="38">
  <autoFilter ref="A3:Y1436" xr:uid="{0EF4BB5B-153B-4CF9-ADC7-D0451CA37337}">
    <filterColumn colId="14">
      <filters>
        <filter val="GANADERIA"/>
      </filters>
    </filterColumn>
    <filterColumn colId="15">
      <filters>
        <filter val="COSTOS_OP"/>
      </filters>
    </filterColumn>
  </autoFilter>
  <tableColumns count="25">
    <tableColumn id="24" xr3:uid="{7BFB5508-A8A2-4146-8D8C-C5393CD29EC9}" name="PERIODO" dataDxfId="37"/>
    <tableColumn id="1" xr3:uid="{EC4D0EA9-1942-4647-83E8-C9C545AC8BFF}" name="FECHA" dataDxfId="36"/>
    <tableColumn id="2" xr3:uid="{8137ADDA-EF80-41B5-B0D1-A3F08FBEF5AF}" name="DESCRIPCION" dataDxfId="35"/>
    <tableColumn id="3" xr3:uid="{DB9B8163-DAF8-4650-8E05-86F593CA24E2}" name="N DE REFERENCIA" dataDxfId="34"/>
    <tableColumn id="4" xr3:uid="{A937452B-CAEF-4DB3-90DF-E63C9108AC8B}" name="EGRESOS" dataDxfId="33" dataCellStyle="Moneda"/>
    <tableColumn id="5" xr3:uid="{F11E14BC-AD3F-4FAE-A685-A34AFBC38A87}" name="INGRESOS" dataDxfId="32" dataCellStyle="Moneda"/>
    <tableColumn id="25" xr3:uid="{132F51FD-1910-4E50-9CDA-B1B3879183D5}" name="SALDO" dataDxfId="31" dataCellStyle="Moneda">
      <calculatedColumnFormula>Tabla3[[#This Row],[INGRESOS]]-Tabla3[[#This Row],[EGRESOS]]</calculatedColumnFormula>
    </tableColumn>
    <tableColumn id="6" xr3:uid="{155CBACE-7274-4DB8-84CB-7C1FC284FDAA}" name="SALDO BANCO" dataDxfId="30" dataCellStyle="Moneda"/>
    <tableColumn id="7" xr3:uid="{1D379DB2-EEA8-4830-A520-937A930B27AE}" name="TC" dataCellStyle="Moneda"/>
    <tableColumn id="8" xr3:uid="{1A95B1EE-3A90-45E6-9146-3B47B970955C}" name="EGRES USD" dataDxfId="29"/>
    <tableColumn id="9" xr3:uid="{11AD87CF-A2FD-42EA-AB07-6108840AE3B4}" name="INGRES USD" dataDxfId="28"/>
    <tableColumn id="10" xr3:uid="{8F821B07-9CDC-41CC-90A8-99A62B118B27}" name="MONEDA"/>
    <tableColumn id="11" xr3:uid="{1E851B8C-A268-4B35-B186-E787FEF1D7CD}" name="CUENTA"/>
    <tableColumn id="12" xr3:uid="{81BC7936-2B27-4296-A935-3DF5E7CFFFF1}" name="BANCO"/>
    <tableColumn id="13" xr3:uid="{D5828BF7-867B-43BA-A809-C69435615288}" name="ACTIVIDAD"/>
    <tableColumn id="14" xr3:uid="{7F03D979-A59F-4C8C-9804-0A7F66EA5B26}" name="RUBRO"/>
    <tableColumn id="15" xr3:uid="{C987A821-6A16-4B22-A571-705021520F0B}" name="CONCEPTO"/>
    <tableColumn id="16" xr3:uid="{9AD6BAAF-D591-4BAE-9FF9-FDBD4C4B0544}" name="DETALLES"/>
    <tableColumn id="17" xr3:uid="{39765891-BC94-4CD4-ADFA-EAE9A5BEEAA3}" name="PROVEEDOR CLIENTE"/>
    <tableColumn id="18" xr3:uid="{EFCD6A85-BED8-4DFB-9B29-515CC786ED61}" name="FACTURA"/>
    <tableColumn id="19" xr3:uid="{6838FA14-E06E-4E64-9DC4-A7DAA8A74089}" name="RDS"/>
    <tableColumn id="20" xr3:uid="{BEC7F30D-54DF-4A7C-996A-BBFDB6F60890}" name="SOCIO"/>
    <tableColumn id="21" xr3:uid="{7FA63E4A-827C-4788-9F2C-5E0A23267F13}" name="CAMPAÑA"/>
    <tableColumn id="22" xr3:uid="{52D12321-F7B1-47F4-A381-CFE2E0537DA4}" name="DEBITO"/>
    <tableColumn id="23" xr3:uid="{FCC66A84-41DA-4883-A705-C430037F0D03}" name="CREDITO"/>
  </tableColumns>
  <tableStyleInfo name="SIMP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C45B7F-102C-481F-BD60-6732EA64B760}" name="Tabla4" displayName="Tabla4" ref="B15:S41" totalsRowShown="0" headerRowDxfId="27" headerRowBorderDxfId="26">
  <autoFilter ref="B15:S41" xr:uid="{6DC45B7F-102C-481F-BD60-6732EA64B760}"/>
  <tableColumns count="18">
    <tableColumn id="1" xr3:uid="{B92A3346-42A2-455E-8D51-66C02B31FDAC}" name="ACTIVIDADES" dataDxfId="25"/>
    <tableColumn id="2" xr3:uid="{FB92DE02-0B9D-444E-8273-F8BD5E18A296}" name="ENERO" dataDxfId="24" dataCellStyle="Moneda"/>
    <tableColumn id="3" xr3:uid="{E0119841-9881-4E58-919B-B70BCF9A14FE}" name="FEBRERO" dataDxfId="23"/>
    <tableColumn id="4" xr3:uid="{C956C100-CABA-45BF-9CA5-FA76B3C7872F}" name="MARZO" dataDxfId="22"/>
    <tableColumn id="5" xr3:uid="{EA447E1B-4BF2-4DD7-95BD-8BD8EE636483}" name="ABRIL" dataDxfId="21"/>
    <tableColumn id="6" xr3:uid="{B90D5AE1-799C-41A3-A029-A08700E1284D}" name="MAYO" dataDxfId="20"/>
    <tableColumn id="7" xr3:uid="{E99A3171-5F36-42BD-8BC2-EC00105A1120}" name="JUNIO" dataDxfId="19"/>
    <tableColumn id="8" xr3:uid="{39C96888-A323-42D3-B759-941F16C99EC6}" name="JULIO" dataDxfId="18"/>
    <tableColumn id="9" xr3:uid="{530EFB57-825D-4E81-9072-DE21E49B7515}" name="AGOSTO" dataDxfId="17"/>
    <tableColumn id="10" xr3:uid="{699AC05D-2B65-4194-A219-5035FA69ABF4}" name="SEPTIEMBRE"/>
    <tableColumn id="11" xr3:uid="{2B5BAF8A-50CB-4FF4-A5B9-470DD8B73AD6}" name="OCTUBRE"/>
    <tableColumn id="12" xr3:uid="{984B87F9-FE80-4E79-A679-311B6B99195A}" name="NOVIEMBRE"/>
    <tableColumn id="13" xr3:uid="{F8AFB600-3994-4628-8D2F-D8F7B2C1C35F}" name="DICIEMBRE"/>
    <tableColumn id="14" xr3:uid="{98526441-BF58-49D5-B6B9-7EB417B231F0}" name="TOTAL" dataDxfId="16"/>
    <tableColumn id="16" xr3:uid="{8C600B8E-B9E8-4BC0-95B3-4BF476F842E7}" name="ESTIMADO" dataDxfId="15"/>
    <tableColumn id="17" xr3:uid="{D84FA478-493A-4C9D-8410-1F2A1444DA82}" name="%"/>
    <tableColumn id="18" xr3:uid="{86C9E430-BC38-480E-A3D9-50FEEDBFE144}" name="USD" dataDxfId="14" dataCellStyle="Porcentaje"/>
    <tableColumn id="15" xr3:uid="{083452BD-6D8B-4A12-A02E-57BA9346182D}" name="USD/HA" dataDxfId="1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621DD7-934F-46B1-8A64-1C7BECDAD211}" name="Tabla45" displayName="Tabla45" ref="B15:O35" totalsRowShown="0" headerRowDxfId="12" headerRowBorderDxfId="11">
  <autoFilter ref="B15:O35" xr:uid="{6DC45B7F-102C-481F-BD60-6732EA64B760}"/>
  <tableColumns count="14">
    <tableColumn id="1" xr3:uid="{5DBD8364-FF48-4ACA-BD3A-A810F75F1779}" name="ACTIVIDADES" dataDxfId="10"/>
    <tableColumn id="2" xr3:uid="{53D145D3-07E3-47ED-9577-DCA455B2D41B}" name="ENERO" dataDxfId="9" dataCellStyle="Moneda"/>
    <tableColumn id="3" xr3:uid="{A34DDEE1-A0A2-46E3-86CA-5077D0670EB9}" name="FEBRERO" dataDxfId="8"/>
    <tableColumn id="4" xr3:uid="{88F8EA49-CDDF-4026-BA9A-A1D4D3D68C6D}" name="MARZO" dataDxfId="7"/>
    <tableColumn id="5" xr3:uid="{A4220652-0BC2-4851-8DFE-37E8EE28D40D}" name="ABRIL" dataDxfId="6"/>
    <tableColumn id="6" xr3:uid="{6827EA6F-67A3-49BE-AFF2-DAEDDE33758E}" name="MAYO" dataDxfId="5"/>
    <tableColumn id="7" xr3:uid="{267ED2AA-1BF8-49B7-A8C1-D9B1E8C2E579}" name="JUNIO" dataDxfId="4"/>
    <tableColumn id="8" xr3:uid="{5A75FA66-A966-4276-B8C2-0991BA74BC89}" name="JULIO" dataDxfId="3"/>
    <tableColumn id="9" xr3:uid="{8BD9389A-98BE-4995-8E3C-D497FC24CC56}" name="AGOSTO" dataDxfId="2"/>
    <tableColumn id="10" xr3:uid="{FECFA1B2-3CD5-4C5B-A864-23A6F940B9EC}" name="SEPTIEMBRE"/>
    <tableColumn id="11" xr3:uid="{F92627C8-1CDC-46BC-A26E-484B87581331}" name="OCTUBRE"/>
    <tableColumn id="12" xr3:uid="{21C1C3AE-C92E-4F2F-A4DC-0773C50B5A76}" name="NOVIEMBRE"/>
    <tableColumn id="13" xr3:uid="{32DAD0AA-1A2F-4655-B65A-08D75CA5C5F3}" name="DICIEMBRE"/>
    <tableColumn id="14" xr3:uid="{32743BEE-BE25-421B-BEA2-A38E8218B297}" name="TOTAL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Verde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FD110-4EA4-4585-8F47-251E163DA608}">
  <sheetPr codeName="Hoja2">
    <tabColor theme="0"/>
  </sheetPr>
  <dimension ref="A1:X110"/>
  <sheetViews>
    <sheetView topLeftCell="M12" zoomScaleNormal="100" workbookViewId="0">
      <selection activeCell="V28" sqref="V28"/>
    </sheetView>
  </sheetViews>
  <sheetFormatPr baseColWidth="10" defaultColWidth="11.42578125" defaultRowHeight="15" x14ac:dyDescent="0.25"/>
  <cols>
    <col min="1" max="1" width="2.28515625" customWidth="1"/>
    <col min="2" max="2" width="40.85546875" customWidth="1"/>
    <col min="3" max="3" width="22.7109375" customWidth="1"/>
    <col min="4" max="4" width="2.5703125" customWidth="1"/>
    <col min="5" max="5" width="25.140625" customWidth="1"/>
    <col min="6" max="6" width="21.7109375" customWidth="1"/>
    <col min="7" max="7" width="20" customWidth="1"/>
    <col min="8" max="8" width="2.42578125" customWidth="1"/>
    <col min="9" max="9" width="4" customWidth="1"/>
    <col min="10" max="10" width="32" customWidth="1"/>
    <col min="11" max="11" width="18.5703125" customWidth="1"/>
    <col min="12" max="12" width="17.28515625" customWidth="1"/>
    <col min="13" max="13" width="17.42578125" bestFit="1" customWidth="1"/>
    <col min="14" max="14" width="1.42578125" customWidth="1"/>
    <col min="15" max="15" width="8" customWidth="1"/>
    <col min="16" max="17" width="20.140625" customWidth="1"/>
    <col min="18" max="18" width="16.28515625" customWidth="1"/>
    <col min="19" max="19" width="18" customWidth="1"/>
    <col min="20" max="20" width="5" customWidth="1"/>
    <col min="21" max="21" width="29.7109375" customWidth="1"/>
    <col min="22" max="23" width="14.5703125" bestFit="1" customWidth="1"/>
    <col min="24" max="24" width="12" customWidth="1"/>
  </cols>
  <sheetData>
    <row r="1" spans="1:24" s="15" customFormat="1" ht="24" customHeight="1" x14ac:dyDescent="0.25">
      <c r="A1" s="14"/>
      <c r="B1" s="399" t="s">
        <v>0</v>
      </c>
      <c r="C1" s="399"/>
      <c r="D1" s="399"/>
      <c r="E1" s="399"/>
      <c r="F1" s="399"/>
      <c r="G1" s="399"/>
      <c r="H1" s="347"/>
      <c r="I1" s="347"/>
      <c r="J1" s="400" t="s">
        <v>1</v>
      </c>
      <c r="K1" s="400"/>
      <c r="L1" s="400"/>
      <c r="M1" s="400"/>
      <c r="N1" s="400"/>
      <c r="O1" s="400"/>
      <c r="P1" s="400"/>
      <c r="Q1" s="400"/>
      <c r="R1" s="400"/>
      <c r="S1" s="400"/>
      <c r="T1" s="347"/>
      <c r="U1" s="347"/>
      <c r="V1" s="347"/>
      <c r="W1" s="347"/>
      <c r="X1" s="347"/>
    </row>
    <row r="2" spans="1:24" s="15" customFormat="1" ht="13.5" customHeight="1" x14ac:dyDescent="0.25">
      <c r="A2" s="14"/>
      <c r="B2" s="16" t="s">
        <v>2</v>
      </c>
      <c r="C2" s="17" t="s">
        <v>3</v>
      </c>
      <c r="D2" s="348"/>
      <c r="E2" s="348" t="s">
        <v>2</v>
      </c>
      <c r="F2" s="348"/>
      <c r="G2" s="18" t="s">
        <v>3</v>
      </c>
      <c r="H2" s="347"/>
      <c r="I2" s="347"/>
      <c r="J2" s="19" t="s">
        <v>2</v>
      </c>
      <c r="K2" s="20" t="s">
        <v>4</v>
      </c>
      <c r="L2" s="17" t="s">
        <v>5</v>
      </c>
      <c r="M2" s="21" t="s">
        <v>6</v>
      </c>
      <c r="N2" s="348"/>
      <c r="O2" s="20" t="s">
        <v>2</v>
      </c>
      <c r="P2" s="348"/>
      <c r="Q2" s="17" t="s">
        <v>7</v>
      </c>
      <c r="R2" s="17" t="s">
        <v>5</v>
      </c>
      <c r="S2" s="21" t="s">
        <v>6</v>
      </c>
      <c r="T2" s="347"/>
      <c r="U2" s="22" t="s">
        <v>8</v>
      </c>
      <c r="V2" s="347"/>
      <c r="W2" s="347"/>
      <c r="X2" s="347"/>
    </row>
    <row r="3" spans="1:24" s="15" customFormat="1" ht="16.5" customHeight="1" x14ac:dyDescent="0.25">
      <c r="A3" s="347"/>
      <c r="B3" s="23" t="s">
        <v>9</v>
      </c>
      <c r="C3" s="24">
        <v>276250861.88899994</v>
      </c>
      <c r="D3" s="347"/>
      <c r="E3" s="22" t="s">
        <v>10</v>
      </c>
      <c r="F3" s="347"/>
      <c r="G3" s="25">
        <v>180755636.51999998</v>
      </c>
      <c r="H3" s="347"/>
      <c r="I3" s="347"/>
      <c r="J3" s="19" t="s">
        <v>9</v>
      </c>
      <c r="K3" s="26">
        <f>+K4+K17</f>
        <v>347188273.15999997</v>
      </c>
      <c r="L3" s="26">
        <v>546131539.13699865</v>
      </c>
      <c r="M3" s="225">
        <v>802377838.23899853</v>
      </c>
      <c r="N3" s="28"/>
      <c r="O3" s="29" t="s">
        <v>10</v>
      </c>
      <c r="P3" s="28"/>
      <c r="Q3" s="111">
        <f>+Q4+Q24</f>
        <v>59071639.850000001</v>
      </c>
      <c r="R3" s="27">
        <f>+R4+R24</f>
        <v>251572853.51699999</v>
      </c>
      <c r="S3" s="33">
        <f>+S4+S24</f>
        <v>416995960.41999996</v>
      </c>
      <c r="T3" s="347"/>
      <c r="U3" s="64" t="s">
        <v>11</v>
      </c>
      <c r="V3" s="234">
        <v>45657</v>
      </c>
      <c r="W3" s="64" t="s">
        <v>12</v>
      </c>
      <c r="X3" s="64" t="s">
        <v>13</v>
      </c>
    </row>
    <row r="4" spans="1:24" s="15" customFormat="1" ht="16.5" customHeight="1" x14ac:dyDescent="0.25">
      <c r="A4" s="347"/>
      <c r="B4" s="23" t="s">
        <v>14</v>
      </c>
      <c r="C4" s="30">
        <v>266690789.67899996</v>
      </c>
      <c r="D4" s="347"/>
      <c r="E4" s="22" t="s">
        <v>15</v>
      </c>
      <c r="F4" s="347"/>
      <c r="G4" s="31">
        <v>21802266.509999998</v>
      </c>
      <c r="H4" s="347"/>
      <c r="I4" s="347"/>
      <c r="J4" s="32" t="s">
        <v>14</v>
      </c>
      <c r="K4" s="112">
        <f>SUM(K5:K16)</f>
        <v>335292021.20999998</v>
      </c>
      <c r="L4" s="33">
        <f>SUM(L5:L15)</f>
        <v>515750462.97699869</v>
      </c>
      <c r="M4" s="36">
        <f>SUM(M5:M15)</f>
        <v>762911570.83899856</v>
      </c>
      <c r="N4" s="34"/>
      <c r="O4" s="35" t="s">
        <v>15</v>
      </c>
      <c r="P4" s="34"/>
      <c r="Q4" s="105">
        <f>SUM(Q5:Q23)</f>
        <v>4998313.6100000003</v>
      </c>
      <c r="R4" s="122">
        <f>SUM(R5:R23)</f>
        <v>61024856.827</v>
      </c>
      <c r="S4" s="36">
        <f>SUM(S5:S23)</f>
        <v>226447963.72999999</v>
      </c>
      <c r="T4" s="347"/>
      <c r="U4" s="347"/>
      <c r="V4" s="347"/>
      <c r="W4" s="347"/>
      <c r="X4" s="347"/>
    </row>
    <row r="5" spans="1:24" s="15" customFormat="1" ht="16.5" customHeight="1" x14ac:dyDescent="0.25">
      <c r="A5" s="347"/>
      <c r="B5" s="37" t="s">
        <v>16</v>
      </c>
      <c r="C5" s="38">
        <v>64416.11</v>
      </c>
      <c r="D5" s="347"/>
      <c r="E5" s="39" t="s">
        <v>17</v>
      </c>
      <c r="F5" s="347"/>
      <c r="G5" s="40">
        <v>5387800</v>
      </c>
      <c r="H5" s="347"/>
      <c r="I5" s="347"/>
      <c r="J5" s="41" t="s">
        <v>18</v>
      </c>
      <c r="K5" s="131"/>
      <c r="L5" s="124"/>
      <c r="M5" s="46">
        <v>-9383758.7510000467</v>
      </c>
      <c r="N5" s="43"/>
      <c r="O5" s="44" t="s">
        <v>19</v>
      </c>
      <c r="P5" s="45"/>
      <c r="Q5" s="121"/>
      <c r="R5" s="123"/>
      <c r="S5" s="46"/>
      <c r="T5" s="347"/>
      <c r="U5" s="22" t="s">
        <v>20</v>
      </c>
      <c r="V5" s="47">
        <v>-4844669.16</v>
      </c>
      <c r="W5" s="347"/>
      <c r="X5" s="347"/>
    </row>
    <row r="6" spans="1:24" s="15" customFormat="1" ht="16.5" customHeight="1" x14ac:dyDescent="0.25">
      <c r="A6" s="347"/>
      <c r="B6" s="37"/>
      <c r="C6" s="38"/>
      <c r="D6" s="347"/>
      <c r="E6" s="39"/>
      <c r="F6" s="347"/>
      <c r="G6" s="40"/>
      <c r="H6" s="347"/>
      <c r="I6" s="347"/>
      <c r="J6" s="41"/>
      <c r="K6" s="131"/>
      <c r="L6" s="48">
        <v>-2483829.0900013447</v>
      </c>
      <c r="M6" s="46">
        <v>-2483829.0900013447</v>
      </c>
      <c r="N6" s="43"/>
      <c r="O6" s="44"/>
      <c r="P6" s="44" t="s">
        <v>21</v>
      </c>
      <c r="Q6" s="121">
        <v>5367763.6100000003</v>
      </c>
      <c r="R6" s="123"/>
      <c r="S6" s="46"/>
      <c r="T6" s="347"/>
      <c r="U6" s="22"/>
      <c r="V6" s="47"/>
      <c r="W6" s="347"/>
      <c r="X6" s="347"/>
    </row>
    <row r="7" spans="1:24" s="15" customFormat="1" ht="16.5" customHeight="1" x14ac:dyDescent="0.25">
      <c r="A7" s="347"/>
      <c r="B7" s="41" t="s">
        <v>22</v>
      </c>
      <c r="C7" s="48">
        <v>-9383758.7510000467</v>
      </c>
      <c r="D7" s="347"/>
      <c r="E7" s="39"/>
      <c r="F7" s="347"/>
      <c r="G7" s="40"/>
      <c r="H7" s="347"/>
      <c r="I7" s="347"/>
      <c r="J7" s="41" t="s">
        <v>23</v>
      </c>
      <c r="K7" s="131">
        <f>SUMIFS(Tabla3[INGRESOS],Tabla3[DEBITO],BALANCE!J7)-SUMIFS(Tabla3[EGRESOS],Tabla3[CREDITO],BALANCE!J7)</f>
        <v>63922800.710000038</v>
      </c>
      <c r="M7" s="46"/>
      <c r="N7" s="43"/>
      <c r="O7" s="44"/>
      <c r="P7" s="44" t="s">
        <v>24</v>
      </c>
      <c r="Q7" s="121"/>
      <c r="R7" s="124">
        <v>3845296.8670000001</v>
      </c>
      <c r="S7" s="46"/>
      <c r="T7" s="347"/>
      <c r="U7" s="22" t="s">
        <v>25</v>
      </c>
      <c r="V7" s="47">
        <v>22436.560000000522</v>
      </c>
      <c r="W7" s="347"/>
      <c r="X7" s="347"/>
    </row>
    <row r="8" spans="1:24" s="15" customFormat="1" ht="16.5" customHeight="1" x14ac:dyDescent="0.25">
      <c r="A8" s="347"/>
      <c r="B8" s="41" t="s">
        <v>26</v>
      </c>
      <c r="C8" s="42">
        <v>2141417</v>
      </c>
      <c r="D8" s="347"/>
      <c r="E8" s="39"/>
      <c r="F8" s="347"/>
      <c r="G8" s="40"/>
      <c r="H8" s="347"/>
      <c r="I8" s="347"/>
      <c r="J8" s="41" t="s">
        <v>26</v>
      </c>
      <c r="K8" s="131"/>
      <c r="L8" s="42">
        <v>7485514.5800000001</v>
      </c>
      <c r="M8" s="46">
        <v>9626931.5800000001</v>
      </c>
      <c r="N8" s="43"/>
      <c r="O8" s="44"/>
      <c r="P8" s="44" t="s">
        <v>27</v>
      </c>
      <c r="Q8" s="121"/>
      <c r="R8" s="123"/>
      <c r="S8" s="46"/>
      <c r="T8" s="347"/>
      <c r="U8" s="22" t="s">
        <v>28</v>
      </c>
      <c r="V8" s="47">
        <v>26960.49</v>
      </c>
      <c r="W8" s="22"/>
      <c r="X8" s="347"/>
    </row>
    <row r="9" spans="1:24" s="15" customFormat="1" ht="16.5" customHeight="1" x14ac:dyDescent="0.25">
      <c r="A9" s="347"/>
      <c r="B9" s="41" t="s">
        <v>29</v>
      </c>
      <c r="C9" s="42">
        <v>75208356.390000001</v>
      </c>
      <c r="D9" s="347"/>
      <c r="E9" s="39"/>
      <c r="F9" s="347"/>
      <c r="G9" s="40"/>
      <c r="H9" s="347"/>
      <c r="I9" s="347"/>
      <c r="J9" s="41" t="s">
        <v>29</v>
      </c>
      <c r="K9" s="129">
        <f>SUMIFS(Tabla3[EGRESOS],Tabla3[DEBITO],BALANCE!J9)</f>
        <v>156600440.05999997</v>
      </c>
      <c r="L9" s="42">
        <v>176881615.29000002</v>
      </c>
      <c r="M9" s="46">
        <v>252089971.68000001</v>
      </c>
      <c r="N9" s="43"/>
      <c r="O9" s="44"/>
      <c r="P9" s="49">
        <v>45627</v>
      </c>
      <c r="Q9" s="121"/>
      <c r="R9" s="124">
        <v>5264786.3899999997</v>
      </c>
      <c r="S9" s="46"/>
      <c r="T9" s="347"/>
      <c r="U9" s="22" t="s">
        <v>30</v>
      </c>
      <c r="V9" s="47">
        <v>-572491.5</v>
      </c>
      <c r="W9" s="22"/>
      <c r="X9" s="347"/>
    </row>
    <row r="10" spans="1:24" s="15" customFormat="1" ht="16.5" customHeight="1" x14ac:dyDescent="0.25">
      <c r="A10" s="347"/>
      <c r="B10" s="41"/>
      <c r="C10" s="42"/>
      <c r="D10" s="347"/>
      <c r="E10" s="39"/>
      <c r="F10" s="347"/>
      <c r="G10" s="40"/>
      <c r="H10" s="347"/>
      <c r="I10" s="347"/>
      <c r="J10" s="41" t="s">
        <v>31</v>
      </c>
      <c r="K10" s="131"/>
      <c r="L10" s="42">
        <v>0</v>
      </c>
      <c r="M10" s="46">
        <v>0</v>
      </c>
      <c r="N10" s="43"/>
      <c r="O10" s="44"/>
      <c r="P10" s="49">
        <v>45658</v>
      </c>
      <c r="Q10" s="121"/>
      <c r="R10" s="124">
        <v>7597543.6699999999</v>
      </c>
      <c r="S10" s="46"/>
      <c r="T10" s="347"/>
      <c r="U10" s="22" t="s">
        <v>32</v>
      </c>
      <c r="V10" s="51">
        <v>-5367763.6099999994</v>
      </c>
      <c r="W10" s="347"/>
      <c r="X10" s="347"/>
    </row>
    <row r="11" spans="1:24" s="15" customFormat="1" ht="16.5" customHeight="1" x14ac:dyDescent="0.25">
      <c r="A11" s="347"/>
      <c r="B11" s="41" t="s">
        <v>33</v>
      </c>
      <c r="C11" s="42">
        <v>17882239.210000001</v>
      </c>
      <c r="D11" s="347"/>
      <c r="E11" s="39"/>
      <c r="F11" s="347"/>
      <c r="G11" s="40"/>
      <c r="H11" s="347"/>
      <c r="I11" s="347"/>
      <c r="J11" s="41" t="s">
        <v>33</v>
      </c>
      <c r="K11" s="131"/>
      <c r="L11" s="42">
        <v>231593706.82999995</v>
      </c>
      <c r="M11" s="46">
        <v>408429316.04999995</v>
      </c>
      <c r="N11" s="43"/>
      <c r="O11" s="44"/>
      <c r="P11" s="49">
        <v>45689</v>
      </c>
      <c r="Q11" s="121"/>
      <c r="R11" s="124">
        <v>2155638.7799999998</v>
      </c>
      <c r="S11" s="46"/>
      <c r="T11" s="347"/>
      <c r="U11" s="22" t="s">
        <v>34</v>
      </c>
      <c r="V11" s="50">
        <f>L6</f>
        <v>-2483829.0900013447</v>
      </c>
      <c r="W11" s="268">
        <f>(V10-V11)/V10</f>
        <v>0.53726928559707099</v>
      </c>
      <c r="X11" s="232">
        <f>V11/V10</f>
        <v>0.46273071440292896</v>
      </c>
    </row>
    <row r="12" spans="1:24" s="15" customFormat="1" ht="16.5" customHeight="1" x14ac:dyDescent="0.25">
      <c r="A12" s="347"/>
      <c r="B12" s="37" t="s">
        <v>35</v>
      </c>
      <c r="C12" s="38">
        <v>158953370.00999999</v>
      </c>
      <c r="D12" s="347"/>
      <c r="E12" s="39"/>
      <c r="F12" s="347"/>
      <c r="G12" s="40"/>
      <c r="H12" s="347"/>
      <c r="I12" s="347"/>
      <c r="J12" s="52" t="s">
        <v>36</v>
      </c>
      <c r="K12" s="130">
        <f>SUMIFS(Tabla3[EGRESOS],Tabla3[DEBITO],BALANCE!J12)</f>
        <v>56991465.219999999</v>
      </c>
      <c r="L12" s="42">
        <v>17912239.66</v>
      </c>
      <c r="M12" s="46">
        <v>39736989.370000005</v>
      </c>
      <c r="N12" s="43"/>
      <c r="O12" s="44"/>
      <c r="P12" s="49">
        <v>45717</v>
      </c>
      <c r="Q12" s="114"/>
      <c r="R12" s="124">
        <v>602000</v>
      </c>
      <c r="S12" s="46"/>
      <c r="T12" s="347"/>
      <c r="U12" s="347"/>
      <c r="V12" s="47"/>
      <c r="X12" s="232">
        <f>1-X11</f>
        <v>0.5372692855970711</v>
      </c>
    </row>
    <row r="13" spans="1:24" s="15" customFormat="1" ht="16.5" customHeight="1" x14ac:dyDescent="0.25">
      <c r="A13" s="347"/>
      <c r="B13" s="37" t="s">
        <v>37</v>
      </c>
      <c r="C13" s="38">
        <v>21824749.710000001</v>
      </c>
      <c r="D13" s="347"/>
      <c r="E13" s="347"/>
      <c r="F13" s="39"/>
      <c r="G13" s="53"/>
      <c r="H13" s="347"/>
      <c r="I13" s="347"/>
      <c r="J13" s="52" t="s">
        <v>38</v>
      </c>
      <c r="K13" s="130">
        <f>SUMIFS(Tabla3[EGRESOS],Tabla3[DEBITO],BALANCE!J13)</f>
        <v>1830361.64</v>
      </c>
      <c r="L13" s="42">
        <v>64895950</v>
      </c>
      <c r="M13" s="46">
        <v>64895950</v>
      </c>
      <c r="N13" s="43"/>
      <c r="O13" s="44" t="s">
        <v>39</v>
      </c>
      <c r="P13" s="43"/>
      <c r="Q13" s="130">
        <f>SUMIFS(Tabla3[INGRESOS],Tabla3[CREDITO],BALANCE!O13)-SUMIFS(Tabla3[EGRESOS],Tabla3[DEBITO],O13)</f>
        <v>409050</v>
      </c>
      <c r="R13" s="123"/>
      <c r="S13" s="46"/>
      <c r="T13" s="347"/>
      <c r="U13" s="22" t="s">
        <v>40</v>
      </c>
      <c r="V13" s="55">
        <v>-1520417.54999998</v>
      </c>
      <c r="W13" s="55"/>
      <c r="X13" s="233"/>
    </row>
    <row r="14" spans="1:24" s="15" customFormat="1" ht="16.5" customHeight="1" x14ac:dyDescent="0.25">
      <c r="A14" s="347"/>
      <c r="B14" s="37"/>
      <c r="C14" s="30"/>
      <c r="D14" s="347"/>
      <c r="E14" s="50"/>
      <c r="F14" s="39"/>
      <c r="G14" s="53"/>
      <c r="H14" s="347"/>
      <c r="I14" s="347"/>
      <c r="J14" s="41" t="s">
        <v>41</v>
      </c>
      <c r="K14" s="130">
        <f>SUMIFS(Tabla3[EGRESOS],Tabla3[DEBITO],BALANCE!J14)</f>
        <v>51761306.579999998</v>
      </c>
      <c r="L14" s="42">
        <v>19465265.706999999</v>
      </c>
      <c r="M14" s="46"/>
      <c r="N14" s="43"/>
      <c r="O14" s="43"/>
      <c r="P14" s="44" t="s">
        <v>42</v>
      </c>
      <c r="Q14" s="116">
        <f>SUMIFS(Tabla3[INGRESOS],Tabla3[CREDITO],BALANCE!P14)</f>
        <v>0</v>
      </c>
      <c r="R14" s="124">
        <v>11250743.49</v>
      </c>
      <c r="S14" s="46">
        <v>16638543.49</v>
      </c>
      <c r="T14" s="347"/>
      <c r="U14" s="22" t="s">
        <v>43</v>
      </c>
      <c r="V14" s="50">
        <f>+V11+V13</f>
        <v>-4004246.6400013249</v>
      </c>
      <c r="W14" s="232"/>
      <c r="X14" s="232">
        <f>V10/R50</f>
        <v>-9.8287010094347711E-3</v>
      </c>
    </row>
    <row r="15" spans="1:24" s="15" customFormat="1" ht="16.5" customHeight="1" x14ac:dyDescent="0.25">
      <c r="A15" s="347"/>
      <c r="B15" s="37"/>
      <c r="C15" s="30"/>
      <c r="D15" s="347"/>
      <c r="E15" s="50"/>
      <c r="F15" s="39"/>
      <c r="G15" s="53"/>
      <c r="H15" s="347"/>
      <c r="I15" s="347"/>
      <c r="J15" s="52" t="s">
        <v>44</v>
      </c>
      <c r="K15" s="130">
        <f>SUMIFS(Tabla3[EGRESOS],Tabla3[DEBITO],BALANCE!J15)</f>
        <v>0</v>
      </c>
      <c r="L15" s="42"/>
      <c r="M15" s="46"/>
      <c r="N15" s="43"/>
      <c r="O15" s="43"/>
      <c r="P15" s="44" t="s">
        <v>45</v>
      </c>
      <c r="Q15" s="116">
        <f>SUMIFS(Tabla3[INGRESOS],Tabla3[CREDITO],BALANCE!P15)-SUMIFS(Tabla3[EGRESOS],Tabla3[DEBITO],BALANCE!P15)</f>
        <v>-778500</v>
      </c>
      <c r="R15" s="124">
        <v>-41372623.769999996</v>
      </c>
      <c r="S15" s="46">
        <v>-25022573.769999996</v>
      </c>
      <c r="T15" s="347"/>
      <c r="U15" s="22" t="s">
        <v>46</v>
      </c>
      <c r="V15" s="231">
        <f>+V10-V14</f>
        <v>-1363516.9699986745</v>
      </c>
      <c r="W15" s="232"/>
      <c r="X15" s="232">
        <f>V11/R50</f>
        <v>-4.5480418397485407E-3</v>
      </c>
    </row>
    <row r="16" spans="1:24" s="15" customFormat="1" ht="16.5" customHeight="1" x14ac:dyDescent="0.25">
      <c r="A16" s="347"/>
      <c r="B16" s="37"/>
      <c r="C16" s="30"/>
      <c r="D16" s="347"/>
      <c r="E16" s="50"/>
      <c r="F16" s="39"/>
      <c r="G16" s="53"/>
      <c r="H16" s="347"/>
      <c r="I16" s="347"/>
      <c r="J16" s="52" t="s">
        <v>953</v>
      </c>
      <c r="K16" s="130">
        <f>SUMIFS(Tabla3[EGRESOS],Tabla3[DEBITO],BALANCE!J16)</f>
        <v>4185647</v>
      </c>
      <c r="L16" s="42"/>
      <c r="M16" s="46"/>
      <c r="N16" s="43"/>
      <c r="O16" s="43"/>
      <c r="P16" s="44"/>
      <c r="Q16" s="116"/>
      <c r="R16" s="124"/>
      <c r="S16" s="46"/>
      <c r="T16" s="347"/>
      <c r="U16" s="22"/>
      <c r="V16" s="231"/>
      <c r="W16" s="232"/>
      <c r="X16" s="232"/>
    </row>
    <row r="17" spans="1:24" s="15" customFormat="1" ht="16.5" customHeight="1" x14ac:dyDescent="0.25">
      <c r="A17" s="347"/>
      <c r="B17" s="23" t="s">
        <v>47</v>
      </c>
      <c r="C17" s="30">
        <v>9560072.2100000028</v>
      </c>
      <c r="D17" s="347"/>
      <c r="E17" s="50"/>
      <c r="F17" s="39"/>
      <c r="G17" s="53"/>
      <c r="H17" s="347"/>
      <c r="I17" s="347"/>
      <c r="J17" s="56" t="s">
        <v>47</v>
      </c>
      <c r="K17" s="128">
        <f>SUM(K18:K25)</f>
        <v>11896251.949999999</v>
      </c>
      <c r="L17" s="57">
        <f>SUM(L18:L26)</f>
        <v>30381076.16</v>
      </c>
      <c r="M17" s="54">
        <f>SUM(M18:M26)</f>
        <v>39466267.400000006</v>
      </c>
      <c r="N17" s="43"/>
      <c r="O17" s="44" t="s">
        <v>48</v>
      </c>
      <c r="P17" s="44"/>
      <c r="Q17" s="116"/>
      <c r="R17" s="124"/>
      <c r="S17" s="46"/>
      <c r="T17" s="347"/>
      <c r="U17" s="347"/>
      <c r="V17" s="347"/>
      <c r="X17" s="232">
        <f>X14-X15</f>
        <v>-5.2806591696862304E-3</v>
      </c>
    </row>
    <row r="18" spans="1:24" s="15" customFormat="1" ht="16.5" customHeight="1" x14ac:dyDescent="0.25">
      <c r="A18" s="347"/>
      <c r="B18" s="37" t="s">
        <v>49</v>
      </c>
      <c r="C18" s="38">
        <v>6519127.0800000019</v>
      </c>
      <c r="D18" s="347"/>
      <c r="E18" s="39" t="s">
        <v>50</v>
      </c>
      <c r="F18" s="39" t="s">
        <v>21</v>
      </c>
      <c r="G18" s="53">
        <v>64416.11</v>
      </c>
      <c r="H18" s="347"/>
      <c r="I18" s="347"/>
      <c r="J18" s="41" t="s">
        <v>49</v>
      </c>
      <c r="K18" s="129">
        <f>SUMIFS(Tabla3[EGRESOS],Tabla3[DEBITO],BALANCE!J18)</f>
        <v>11545861.690000001</v>
      </c>
      <c r="L18" s="42">
        <v>21496900.920000002</v>
      </c>
      <c r="M18" s="226">
        <v>28016028.000000004</v>
      </c>
      <c r="N18" s="43"/>
      <c r="O18" s="43"/>
      <c r="P18" s="44" t="s">
        <v>51</v>
      </c>
      <c r="Q18" s="116"/>
      <c r="R18" s="124">
        <v>3326000</v>
      </c>
      <c r="S18" s="46">
        <v>223849320.00999999</v>
      </c>
      <c r="T18" s="347"/>
      <c r="U18" s="16"/>
      <c r="V18" s="348" t="s">
        <v>52</v>
      </c>
      <c r="W18" s="21" t="s">
        <v>53</v>
      </c>
    </row>
    <row r="19" spans="1:24" s="15" customFormat="1" ht="16.5" customHeight="1" x14ac:dyDescent="0.25">
      <c r="A19" s="347"/>
      <c r="B19" s="37" t="s">
        <v>54</v>
      </c>
      <c r="C19" s="38">
        <v>3040945.1300000004</v>
      </c>
      <c r="D19" s="347"/>
      <c r="E19" s="39" t="s">
        <v>55</v>
      </c>
      <c r="F19" s="39" t="s">
        <v>56</v>
      </c>
      <c r="G19" s="53">
        <v>4600445</v>
      </c>
      <c r="H19" s="347"/>
      <c r="I19" s="347"/>
      <c r="J19" s="41" t="s">
        <v>54</v>
      </c>
      <c r="K19" s="129">
        <f>SUMIFS(Tabla3[EGRESOS],Tabla3[DEBITO],BALANCE!J19)</f>
        <v>291905.59000000003</v>
      </c>
      <c r="L19" s="124">
        <v>8409294.2699999996</v>
      </c>
      <c r="M19" s="46">
        <v>11450239.4</v>
      </c>
      <c r="N19" s="43"/>
      <c r="O19" s="43"/>
      <c r="P19" s="44" t="s">
        <v>57</v>
      </c>
      <c r="Q19" s="116"/>
      <c r="R19" s="124">
        <v>29900000</v>
      </c>
      <c r="S19" s="46"/>
      <c r="T19" s="347"/>
      <c r="U19" s="306" t="s">
        <v>58</v>
      </c>
      <c r="V19" s="301">
        <v>45838</v>
      </c>
      <c r="W19" s="302">
        <v>0.57999999999999996</v>
      </c>
    </row>
    <row r="20" spans="1:24" s="15" customFormat="1" ht="16.5" customHeight="1" x14ac:dyDescent="0.25">
      <c r="A20" s="347"/>
      <c r="B20" s="58"/>
      <c r="C20" s="347"/>
      <c r="D20" s="347"/>
      <c r="E20" s="39"/>
      <c r="F20" s="39" t="s">
        <v>59</v>
      </c>
      <c r="G20" s="53">
        <v>11749605.4</v>
      </c>
      <c r="H20" s="347"/>
      <c r="I20" s="347"/>
      <c r="J20" s="41" t="s">
        <v>60</v>
      </c>
      <c r="K20" s="129">
        <f>SUMIFS(Tabla3[INGRESOS],Tabla3[CREDITO],BALANCE!J20)-SUMIFS(Tabla3[EGRESOS],Tabla3[DEBITO],BALANCE!J20)</f>
        <v>58484.669999998063</v>
      </c>
      <c r="L20" s="124">
        <v>474880.96999999881</v>
      </c>
      <c r="M20" s="46">
        <v>0</v>
      </c>
      <c r="N20" s="43"/>
      <c r="O20" s="43"/>
      <c r="P20" s="44" t="s">
        <v>61</v>
      </c>
      <c r="Q20" s="116"/>
      <c r="R20" s="124">
        <v>22500000</v>
      </c>
      <c r="S20" s="46"/>
      <c r="T20" s="347"/>
      <c r="U20" s="306" t="s">
        <v>62</v>
      </c>
      <c r="V20" s="301">
        <v>45929</v>
      </c>
      <c r="W20" s="302">
        <v>0.53</v>
      </c>
    </row>
    <row r="21" spans="1:24" s="15" customFormat="1" ht="16.5" customHeight="1" x14ac:dyDescent="0.25">
      <c r="A21" s="347"/>
      <c r="B21" s="58"/>
      <c r="C21" s="347"/>
      <c r="D21" s="347"/>
      <c r="E21" s="39"/>
      <c r="F21" s="39"/>
      <c r="G21" s="53"/>
      <c r="H21" s="347"/>
      <c r="I21" s="347"/>
      <c r="J21" s="41"/>
      <c r="K21" s="106"/>
      <c r="L21" s="124"/>
      <c r="M21" s="46"/>
      <c r="N21" s="43"/>
      <c r="O21" s="43"/>
      <c r="P21" s="44" t="s">
        <v>63</v>
      </c>
      <c r="Q21" s="116"/>
      <c r="R21" s="124">
        <v>9169950</v>
      </c>
      <c r="S21" s="46"/>
      <c r="T21" s="347"/>
      <c r="U21" s="306" t="s">
        <v>64</v>
      </c>
      <c r="V21" s="301">
        <v>45789</v>
      </c>
      <c r="W21" s="302" t="s">
        <v>65</v>
      </c>
    </row>
    <row r="22" spans="1:24" s="15" customFormat="1" ht="16.5" customHeight="1" x14ac:dyDescent="0.25">
      <c r="A22" s="347"/>
      <c r="B22" s="58"/>
      <c r="C22" s="347"/>
      <c r="D22" s="347"/>
      <c r="E22" s="39"/>
      <c r="F22" s="39"/>
      <c r="G22" s="53"/>
      <c r="H22" s="347"/>
      <c r="I22" s="347"/>
      <c r="J22" s="41" t="s">
        <v>66</v>
      </c>
      <c r="K22" s="106"/>
      <c r="L22" s="124">
        <v>0</v>
      </c>
      <c r="M22" s="46">
        <v>0</v>
      </c>
      <c r="N22" s="43"/>
      <c r="O22" s="44" t="s">
        <v>67</v>
      </c>
      <c r="P22" s="44" t="s">
        <v>68</v>
      </c>
      <c r="Q22" s="116"/>
      <c r="R22" s="124">
        <v>5491337</v>
      </c>
      <c r="S22" s="46">
        <v>5491337</v>
      </c>
      <c r="T22" s="347"/>
      <c r="U22" s="306" t="s">
        <v>69</v>
      </c>
      <c r="V22" s="301">
        <v>45814</v>
      </c>
      <c r="W22" s="302" t="s">
        <v>70</v>
      </c>
    </row>
    <row r="23" spans="1:24" s="15" customFormat="1" ht="16.5" customHeight="1" x14ac:dyDescent="0.25">
      <c r="A23" s="347"/>
      <c r="B23" s="58"/>
      <c r="C23" s="347"/>
      <c r="D23" s="347"/>
      <c r="E23" s="39"/>
      <c r="F23" s="39"/>
      <c r="G23" s="53"/>
      <c r="H23" s="347"/>
      <c r="I23" s="347"/>
      <c r="J23" s="41" t="s">
        <v>71</v>
      </c>
      <c r="K23" s="106"/>
      <c r="L23" s="124">
        <v>0</v>
      </c>
      <c r="M23" s="46">
        <v>0</v>
      </c>
      <c r="N23" s="43"/>
      <c r="O23" s="44" t="s">
        <v>72</v>
      </c>
      <c r="P23" s="44"/>
      <c r="Q23" s="116"/>
      <c r="R23" s="124">
        <v>1294184.4000000001</v>
      </c>
      <c r="S23" s="46">
        <v>5491337</v>
      </c>
      <c r="T23" s="347"/>
      <c r="U23" s="307" t="s">
        <v>73</v>
      </c>
      <c r="V23" s="303">
        <v>45978</v>
      </c>
      <c r="W23" s="304">
        <v>0.46</v>
      </c>
    </row>
    <row r="24" spans="1:24" s="15" customFormat="1" ht="16.5" customHeight="1" x14ac:dyDescent="0.25">
      <c r="A24" s="347"/>
      <c r="B24" s="58"/>
      <c r="C24" s="347"/>
      <c r="D24" s="43"/>
      <c r="E24" s="59" t="s">
        <v>74</v>
      </c>
      <c r="F24" s="43"/>
      <c r="G24" s="54">
        <v>158953370.00999999</v>
      </c>
      <c r="H24" s="347"/>
      <c r="I24" s="347"/>
      <c r="J24" s="41" t="s">
        <v>75</v>
      </c>
      <c r="K24" s="106"/>
      <c r="L24" s="124">
        <v>0</v>
      </c>
      <c r="M24" s="46">
        <v>0</v>
      </c>
      <c r="N24" s="43"/>
      <c r="O24" s="59" t="s">
        <v>74</v>
      </c>
      <c r="P24" s="43"/>
      <c r="Q24" s="115">
        <f>SUM(Q25:Q35)</f>
        <v>54073326.240000002</v>
      </c>
      <c r="R24" s="123">
        <f>SUM(R25:R35)</f>
        <v>190547996.69</v>
      </c>
      <c r="S24" s="305">
        <f>SUM(S25:S35)</f>
        <v>190547996.69</v>
      </c>
      <c r="T24" s="347"/>
    </row>
    <row r="25" spans="1:24" s="15" customFormat="1" ht="16.5" customHeight="1" x14ac:dyDescent="0.25">
      <c r="A25" s="347"/>
      <c r="B25" s="58"/>
      <c r="C25" s="347"/>
      <c r="D25" s="347"/>
      <c r="E25" s="39" t="s">
        <v>76</v>
      </c>
      <c r="F25" s="39" t="s">
        <v>77</v>
      </c>
      <c r="G25" s="53">
        <v>24690086</v>
      </c>
      <c r="H25" s="347"/>
      <c r="I25" s="347"/>
      <c r="J25" s="58"/>
      <c r="K25" s="107"/>
      <c r="L25" s="58"/>
      <c r="M25" s="62"/>
      <c r="N25" s="43"/>
      <c r="O25" s="44" t="s">
        <v>78</v>
      </c>
      <c r="P25" s="44" t="s">
        <v>79</v>
      </c>
      <c r="Q25" s="116"/>
      <c r="R25" s="124">
        <v>3000000</v>
      </c>
      <c r="S25" s="46">
        <v>3000000</v>
      </c>
      <c r="T25" s="347"/>
    </row>
    <row r="26" spans="1:24" s="15" customFormat="1" ht="16.5" customHeight="1" x14ac:dyDescent="0.25">
      <c r="A26" s="347"/>
      <c r="B26" s="58"/>
      <c r="C26" s="347"/>
      <c r="D26" s="347"/>
      <c r="E26" s="347"/>
      <c r="F26" s="39" t="s">
        <v>57</v>
      </c>
      <c r="G26" s="53">
        <v>89938412.260000005</v>
      </c>
      <c r="H26" s="347"/>
      <c r="I26" s="347"/>
      <c r="J26" s="58"/>
      <c r="K26" s="107"/>
      <c r="L26" s="58"/>
      <c r="M26" s="62"/>
      <c r="N26" s="43"/>
      <c r="O26" s="59"/>
      <c r="P26" s="298" t="s">
        <v>80</v>
      </c>
      <c r="Q26" s="299">
        <f>SUMIFS(Tabla3[INGRESOS],Tabla3[CREDITO],BALANCE!P26)</f>
        <v>0</v>
      </c>
      <c r="R26" s="300">
        <v>17500000</v>
      </c>
      <c r="S26" s="46">
        <v>17500000</v>
      </c>
      <c r="T26" s="347"/>
    </row>
    <row r="27" spans="1:24" s="15" customFormat="1" ht="16.5" customHeight="1" x14ac:dyDescent="0.25">
      <c r="A27" s="347"/>
      <c r="B27" s="58"/>
      <c r="C27" s="38"/>
      <c r="D27" s="347"/>
      <c r="E27" s="347"/>
      <c r="F27" s="39" t="s">
        <v>81</v>
      </c>
      <c r="G27" s="53">
        <v>435916.63</v>
      </c>
      <c r="H27" s="347"/>
      <c r="I27" s="347"/>
      <c r="J27" s="58"/>
      <c r="K27" s="107"/>
      <c r="L27" s="58"/>
      <c r="M27" s="62"/>
      <c r="N27" s="43"/>
      <c r="O27" s="59"/>
      <c r="P27" s="44" t="s">
        <v>82</v>
      </c>
      <c r="Q27" s="116">
        <f>SUMIFS(Tabla3[INGRESOS],Tabla3[CREDITO],BALANCE!P27)</f>
        <v>0</v>
      </c>
      <c r="R27" s="124">
        <v>24550000</v>
      </c>
      <c r="S27" s="46">
        <v>24550000</v>
      </c>
      <c r="T27" s="347"/>
    </row>
    <row r="28" spans="1:24" s="15" customFormat="1" ht="16.5" customHeight="1" x14ac:dyDescent="0.25">
      <c r="A28" s="347"/>
      <c r="B28" s="58"/>
      <c r="C28" s="38"/>
      <c r="D28" s="347"/>
      <c r="E28" s="347"/>
      <c r="F28" s="39" t="s">
        <v>83</v>
      </c>
      <c r="G28" s="53">
        <v>3888955.12</v>
      </c>
      <c r="H28" s="347"/>
      <c r="I28" s="347"/>
      <c r="J28" s="58"/>
      <c r="K28" s="107"/>
      <c r="L28" s="58"/>
      <c r="M28" s="62"/>
      <c r="N28" s="43"/>
      <c r="O28" s="59"/>
      <c r="P28" s="298" t="s">
        <v>84</v>
      </c>
      <c r="Q28" s="299">
        <f>SUMIFS(Tabla3[INGRESOS],Tabla3[CREDITO],BALANCE!P28)-SUMIFS(Tabla3[EGRESOS],Tabla3[DEBITO],BALANCE!P28)</f>
        <v>5979667.4600000009</v>
      </c>
      <c r="R28" s="300">
        <v>19730000</v>
      </c>
      <c r="S28" s="46">
        <v>19730000</v>
      </c>
      <c r="T28" s="347"/>
    </row>
    <row r="29" spans="1:24" s="15" customFormat="1" ht="16.5" customHeight="1" x14ac:dyDescent="0.25">
      <c r="A29" s="347"/>
      <c r="B29" s="58"/>
      <c r="C29" s="30"/>
      <c r="D29" s="347"/>
      <c r="E29" s="347"/>
      <c r="F29" s="39" t="s">
        <v>85</v>
      </c>
      <c r="G29" s="53">
        <v>40000000</v>
      </c>
      <c r="H29" s="347"/>
      <c r="I29" s="347"/>
      <c r="J29" s="58"/>
      <c r="K29" s="107"/>
      <c r="L29" s="58"/>
      <c r="M29" s="62"/>
      <c r="N29" s="43"/>
      <c r="O29" s="59"/>
      <c r="P29" s="44" t="s">
        <v>86</v>
      </c>
      <c r="Q29" s="116"/>
      <c r="R29" s="124">
        <v>48500000</v>
      </c>
      <c r="S29" s="46">
        <v>48500000</v>
      </c>
      <c r="T29" s="347"/>
    </row>
    <row r="30" spans="1:24" s="15" customFormat="1" ht="16.5" customHeight="1" x14ac:dyDescent="0.25">
      <c r="A30" s="347"/>
      <c r="B30" s="58"/>
      <c r="C30" s="30"/>
      <c r="D30" s="347"/>
      <c r="E30" s="347"/>
      <c r="F30" s="39"/>
      <c r="G30" s="53"/>
      <c r="H30" s="347"/>
      <c r="I30" s="347"/>
      <c r="J30" s="58"/>
      <c r="K30" s="107"/>
      <c r="L30" s="58"/>
      <c r="M30" s="62"/>
      <c r="N30" s="43"/>
      <c r="O30" s="59"/>
      <c r="P30" s="44" t="s">
        <v>87</v>
      </c>
      <c r="Q30" s="116"/>
      <c r="R30" s="124">
        <v>19900000</v>
      </c>
      <c r="S30" s="46">
        <v>19900000</v>
      </c>
      <c r="T30" s="347"/>
    </row>
    <row r="31" spans="1:24" s="15" customFormat="1" ht="16.5" customHeight="1" x14ac:dyDescent="0.25">
      <c r="A31" s="347"/>
      <c r="B31" s="58"/>
      <c r="C31" s="30"/>
      <c r="D31" s="347"/>
      <c r="E31" s="22" t="s">
        <v>88</v>
      </c>
      <c r="F31" s="347"/>
      <c r="G31" s="25">
        <v>95495225.368999988</v>
      </c>
      <c r="H31" s="347"/>
      <c r="I31" s="347"/>
      <c r="J31" s="41"/>
      <c r="K31" s="106"/>
      <c r="L31" s="124"/>
      <c r="M31" s="46"/>
      <c r="N31" s="43"/>
      <c r="O31" s="43"/>
      <c r="P31" s="44" t="s">
        <v>89</v>
      </c>
      <c r="Q31" s="116"/>
      <c r="R31" s="124">
        <v>30189630</v>
      </c>
      <c r="S31" s="46">
        <v>30189630</v>
      </c>
      <c r="T31" s="347"/>
    </row>
    <row r="32" spans="1:24" s="15" customFormat="1" ht="16.5" customHeight="1" x14ac:dyDescent="0.25">
      <c r="A32" s="347"/>
      <c r="B32" s="58"/>
      <c r="C32" s="30"/>
      <c r="D32" s="347"/>
      <c r="E32" s="22"/>
      <c r="F32" s="347"/>
      <c r="G32" s="25"/>
      <c r="H32" s="347"/>
      <c r="I32" s="347"/>
      <c r="J32" s="41"/>
      <c r="K32" s="106"/>
      <c r="L32" s="124"/>
      <c r="M32" s="46"/>
      <c r="N32" s="43"/>
      <c r="O32" s="43"/>
      <c r="P32" s="44" t="s">
        <v>90</v>
      </c>
      <c r="Q32" s="116">
        <f>SUMIFS(Tabla3[INGRESOS],Tabla3[CREDITO],BALANCE!P32)</f>
        <v>25762930</v>
      </c>
      <c r="R32" s="124"/>
      <c r="S32" s="46"/>
      <c r="T32" s="347"/>
    </row>
    <row r="33" spans="1:20" s="15" customFormat="1" ht="16.5" customHeight="1" x14ac:dyDescent="0.25">
      <c r="A33" s="347"/>
      <c r="B33" s="58"/>
      <c r="C33" s="30"/>
      <c r="D33" s="347"/>
      <c r="E33" s="22"/>
      <c r="F33" s="347"/>
      <c r="G33" s="25"/>
      <c r="H33" s="347"/>
      <c r="I33" s="347"/>
      <c r="J33" s="41"/>
      <c r="K33" s="106"/>
      <c r="L33" s="124"/>
      <c r="M33" s="46"/>
      <c r="N33" s="43"/>
      <c r="O33" s="43"/>
      <c r="P33" s="44" t="s">
        <v>91</v>
      </c>
      <c r="Q33" s="308">
        <f>SUMIFS(Tabla3[INGRESOS],Tabla3[CREDITO],P33)-SUMIFS(Tabla3[EGRESOS],Tabla3[DEBITO],BALANCE!P33)</f>
        <v>4830728.7799999993</v>
      </c>
      <c r="R33" s="124"/>
      <c r="S33" s="46"/>
      <c r="T33" s="347"/>
    </row>
    <row r="34" spans="1:20" s="15" customFormat="1" ht="16.5" customHeight="1" x14ac:dyDescent="0.25">
      <c r="A34" s="347"/>
      <c r="B34" s="58"/>
      <c r="C34" s="30"/>
      <c r="D34" s="347"/>
      <c r="E34" s="22"/>
      <c r="F34" s="347"/>
      <c r="G34" s="25"/>
      <c r="H34" s="347"/>
      <c r="I34" s="347"/>
      <c r="J34" s="41"/>
      <c r="K34" s="106"/>
      <c r="L34" s="124"/>
      <c r="M34" s="46"/>
      <c r="N34" s="43"/>
      <c r="O34" s="43"/>
      <c r="P34" s="44" t="s">
        <v>92</v>
      </c>
      <c r="Q34" s="116">
        <f>SUMIFS(Tabla3[INGRESOS],Tabla3[CREDITO],BALANCE!P34)</f>
        <v>17500000</v>
      </c>
      <c r="R34" s="124"/>
      <c r="S34" s="46"/>
      <c r="T34" s="347"/>
    </row>
    <row r="35" spans="1:20" s="15" customFormat="1" ht="16.5" customHeight="1" x14ac:dyDescent="0.25">
      <c r="A35" s="347"/>
      <c r="B35" s="58"/>
      <c r="C35" s="30"/>
      <c r="D35" s="347"/>
      <c r="E35" s="39" t="s">
        <v>93</v>
      </c>
      <c r="F35" s="347"/>
      <c r="G35" s="53">
        <v>11339691.76</v>
      </c>
      <c r="H35" s="347"/>
      <c r="I35" s="347"/>
      <c r="J35" s="60"/>
      <c r="K35" s="108"/>
      <c r="L35" s="123"/>
      <c r="M35" s="54"/>
      <c r="N35" s="43"/>
      <c r="O35" s="44" t="s">
        <v>94</v>
      </c>
      <c r="P35" s="44"/>
      <c r="Q35" s="116"/>
      <c r="R35" s="124">
        <v>27178366.690000001</v>
      </c>
      <c r="S35" s="46">
        <v>27178366.690000001</v>
      </c>
      <c r="T35" s="347"/>
    </row>
    <row r="36" spans="1:20" s="15" customFormat="1" ht="16.5" customHeight="1" x14ac:dyDescent="0.25">
      <c r="A36" s="347"/>
      <c r="B36" s="58"/>
      <c r="C36" s="30"/>
      <c r="D36" s="347"/>
      <c r="E36" s="39" t="s">
        <v>95</v>
      </c>
      <c r="F36" s="347"/>
      <c r="G36" s="61"/>
      <c r="H36" s="347"/>
      <c r="I36" s="347"/>
      <c r="J36" s="60"/>
      <c r="K36" s="108"/>
      <c r="L36" s="123"/>
      <c r="M36" s="54"/>
      <c r="N36" s="43"/>
      <c r="O36" s="59" t="s">
        <v>88</v>
      </c>
      <c r="P36" s="43"/>
      <c r="Q36" s="291">
        <f>SUM(Q37:Q49)</f>
        <v>287999663.96999985</v>
      </c>
      <c r="R36" s="123">
        <f>SUM(R37:R49)</f>
        <v>294558685.62000018</v>
      </c>
      <c r="S36" s="46">
        <f>SUM(S37:S49)</f>
        <v>390053910.98900014</v>
      </c>
      <c r="T36" s="347"/>
    </row>
    <row r="37" spans="1:20" s="15" customFormat="1" ht="16.5" customHeight="1" x14ac:dyDescent="0.25">
      <c r="A37" s="347"/>
      <c r="B37" s="58"/>
      <c r="C37" s="30"/>
      <c r="D37" s="347"/>
      <c r="E37" s="39" t="s">
        <v>96</v>
      </c>
      <c r="F37" s="347"/>
      <c r="G37" s="53">
        <v>106860074.79999998</v>
      </c>
      <c r="H37" s="347"/>
      <c r="I37" s="347"/>
      <c r="J37" s="60"/>
      <c r="K37" s="108"/>
      <c r="L37" s="123"/>
      <c r="M37" s="54"/>
      <c r="N37" s="43"/>
      <c r="O37" s="322" t="s">
        <v>97</v>
      </c>
      <c r="P37" s="323"/>
      <c r="Q37" s="324">
        <f>SUMIFS(Tabla3[INGRESOS],Tabla3[CREDITO],BALANCE!O37)</f>
        <v>9945494.7300000004</v>
      </c>
      <c r="R37" s="124">
        <v>7364200</v>
      </c>
      <c r="S37" s="46">
        <v>18703891.759999998</v>
      </c>
      <c r="T37" s="347"/>
    </row>
    <row r="38" spans="1:20" s="15" customFormat="1" ht="16.5" customHeight="1" x14ac:dyDescent="0.25">
      <c r="A38" s="347"/>
      <c r="B38" s="58"/>
      <c r="C38" s="30"/>
      <c r="D38" s="347"/>
      <c r="E38" s="39" t="s">
        <v>98</v>
      </c>
      <c r="F38" s="347"/>
      <c r="G38" s="53">
        <v>-22704541.191</v>
      </c>
      <c r="H38" s="347"/>
      <c r="I38" s="347"/>
      <c r="J38" s="60"/>
      <c r="K38" s="108"/>
      <c r="L38" s="123"/>
      <c r="M38" s="54"/>
      <c r="N38" s="43"/>
      <c r="O38" s="322" t="s">
        <v>99</v>
      </c>
      <c r="P38" s="323"/>
      <c r="Q38" s="324">
        <f>-SUMIFS(Tabla3[EGRESOS],Tabla3[DEBITO],BALANCE!O38)</f>
        <v>0</v>
      </c>
      <c r="R38" s="124">
        <v>-16370934.109999999</v>
      </c>
      <c r="S38" s="46">
        <v>-16370934.109999999</v>
      </c>
      <c r="T38" s="347"/>
    </row>
    <row r="39" spans="1:20" s="15" customFormat="1" ht="16.5" customHeight="1" x14ac:dyDescent="0.25">
      <c r="A39" s="347"/>
      <c r="B39" s="58"/>
      <c r="C39" s="30"/>
      <c r="D39" s="347"/>
      <c r="E39" s="347"/>
      <c r="F39" s="39"/>
      <c r="G39" s="53"/>
      <c r="H39" s="347"/>
      <c r="I39" s="347"/>
      <c r="J39" s="60"/>
      <c r="K39" s="108"/>
      <c r="L39" s="123"/>
      <c r="M39" s="54"/>
      <c r="N39" s="43"/>
      <c r="O39" s="322" t="s">
        <v>100</v>
      </c>
      <c r="P39" s="322" t="s">
        <v>101</v>
      </c>
      <c r="Q39" s="324">
        <f>-SUMIFS(Tabla3[EGRESOS],Tabla3[DEBITO],BALANCE!P39)</f>
        <v>-8820000</v>
      </c>
      <c r="R39" s="124">
        <v>-4577898</v>
      </c>
      <c r="S39" s="46">
        <v>-4577898</v>
      </c>
      <c r="T39" s="347"/>
    </row>
    <row r="40" spans="1:20" s="15" customFormat="1" ht="16.5" customHeight="1" x14ac:dyDescent="0.25">
      <c r="A40" s="347"/>
      <c r="B40" s="58"/>
      <c r="C40" s="30"/>
      <c r="D40" s="347"/>
      <c r="E40" s="347"/>
      <c r="F40" s="39"/>
      <c r="G40" s="53"/>
      <c r="H40" s="347"/>
      <c r="I40" s="347"/>
      <c r="J40" s="60"/>
      <c r="K40" s="108"/>
      <c r="L40" s="123"/>
      <c r="M40" s="54"/>
      <c r="N40" s="43"/>
      <c r="O40" s="323"/>
      <c r="P40" s="322" t="s">
        <v>102</v>
      </c>
      <c r="Q40" s="324">
        <f>-SUMIFS(Tabla3[EGRESOS],Tabla3[DEBITO],BALANCE!P40)</f>
        <v>-4000000</v>
      </c>
      <c r="R40" s="124">
        <v>-4908174</v>
      </c>
      <c r="S40" s="46">
        <v>-4908174</v>
      </c>
      <c r="T40" s="347"/>
    </row>
    <row r="41" spans="1:20" s="15" customFormat="1" ht="16.5" customHeight="1" x14ac:dyDescent="0.25">
      <c r="A41" s="347"/>
      <c r="B41" s="58"/>
      <c r="C41" s="30"/>
      <c r="D41" s="347"/>
      <c r="E41" s="347"/>
      <c r="F41" s="39"/>
      <c r="G41" s="53"/>
      <c r="H41" s="347"/>
      <c r="I41" s="347"/>
      <c r="J41" s="60"/>
      <c r="K41" s="108"/>
      <c r="L41" s="123"/>
      <c r="M41" s="54"/>
      <c r="N41" s="43"/>
      <c r="O41" s="323"/>
      <c r="P41" s="322" t="s">
        <v>103</v>
      </c>
      <c r="Q41" s="324">
        <f>-SUMIFS(Tabla3[EGRESOS],Tabla3[DEBITO],BALANCE!P41)</f>
        <v>-23326015.350000001</v>
      </c>
      <c r="R41" s="124">
        <v>-4286000</v>
      </c>
      <c r="S41" s="46">
        <v>-4286000</v>
      </c>
      <c r="T41" s="347"/>
    </row>
    <row r="42" spans="1:20" s="15" customFormat="1" ht="16.5" customHeight="1" x14ac:dyDescent="0.25">
      <c r="A42" s="347"/>
      <c r="B42" s="58"/>
      <c r="C42" s="30"/>
      <c r="D42" s="347"/>
      <c r="E42" s="347"/>
      <c r="F42" s="39"/>
      <c r="G42" s="53"/>
      <c r="H42" s="347"/>
      <c r="I42" s="347"/>
      <c r="J42" s="60"/>
      <c r="K42" s="108"/>
      <c r="L42" s="123"/>
      <c r="M42" s="54"/>
      <c r="N42" s="43"/>
      <c r="O42" s="322" t="s">
        <v>95</v>
      </c>
      <c r="P42" s="323"/>
      <c r="Q42" s="324"/>
      <c r="R42" s="124">
        <v>0</v>
      </c>
      <c r="S42" s="46">
        <v>0</v>
      </c>
      <c r="T42" s="347"/>
    </row>
    <row r="43" spans="1:20" s="15" customFormat="1" ht="16.5" customHeight="1" x14ac:dyDescent="0.25">
      <c r="A43" s="347"/>
      <c r="B43" s="58"/>
      <c r="C43" s="30"/>
      <c r="D43" s="347"/>
      <c r="E43" s="347"/>
      <c r="F43" s="347"/>
      <c r="G43" s="62"/>
      <c r="H43" s="347"/>
      <c r="I43" s="347"/>
      <c r="J43" s="60"/>
      <c r="K43" s="108"/>
      <c r="L43" s="123"/>
      <c r="M43" s="54"/>
      <c r="N43" s="43"/>
      <c r="O43" s="322" t="s">
        <v>96</v>
      </c>
      <c r="P43" s="323"/>
      <c r="Q43" s="324">
        <f>SUMIFS(Tabla3[INGRESOS],Tabla3[CREDITO],BALANCE!O43)</f>
        <v>567273673.04999995</v>
      </c>
      <c r="R43" s="124">
        <v>532760206.1400001</v>
      </c>
      <c r="S43" s="46">
        <v>639620280.94000006</v>
      </c>
      <c r="T43" s="347"/>
    </row>
    <row r="44" spans="1:20" s="15" customFormat="1" ht="16.5" customHeight="1" x14ac:dyDescent="0.25">
      <c r="A44" s="347"/>
      <c r="B44" s="58"/>
      <c r="C44" s="30"/>
      <c r="D44" s="347"/>
      <c r="E44" s="347"/>
      <c r="F44" s="347"/>
      <c r="G44" s="62"/>
      <c r="H44" s="347"/>
      <c r="I44" s="347"/>
      <c r="J44" s="60"/>
      <c r="K44" s="108"/>
      <c r="L44" s="123"/>
      <c r="M44" s="54"/>
      <c r="N44" s="43"/>
      <c r="O44" s="322" t="s">
        <v>98</v>
      </c>
      <c r="P44" s="323"/>
      <c r="Q44" s="325">
        <f>-SUMIFS(Tabla3[EGRESOS],Tabla3[DEBITO],BALANCE!O44)</f>
        <v>-242323511.16000012</v>
      </c>
      <c r="R44" s="42">
        <v>-39856737.010000005</v>
      </c>
      <c r="S44" s="46">
        <v>-62561278.201000005</v>
      </c>
      <c r="T44" s="347"/>
    </row>
    <row r="45" spans="1:20" s="15" customFormat="1" ht="16.5" customHeight="1" x14ac:dyDescent="0.25">
      <c r="A45" s="347"/>
      <c r="B45" s="58"/>
      <c r="C45" s="30"/>
      <c r="D45" s="347"/>
      <c r="E45" s="347"/>
      <c r="F45" s="347"/>
      <c r="G45" s="62"/>
      <c r="H45" s="347"/>
      <c r="I45" s="347"/>
      <c r="J45" s="60"/>
      <c r="K45" s="108"/>
      <c r="L45" s="123"/>
      <c r="M45" s="54"/>
      <c r="N45" s="43"/>
      <c r="O45" s="44" t="s">
        <v>104</v>
      </c>
      <c r="P45" s="43"/>
      <c r="Q45" s="113"/>
      <c r="R45" s="42">
        <v>-6785521.4000000004</v>
      </c>
      <c r="S45" s="46">
        <v>-6785521.4000000004</v>
      </c>
      <c r="T45" s="347"/>
    </row>
    <row r="46" spans="1:20" s="15" customFormat="1" ht="16.5" customHeight="1" x14ac:dyDescent="0.25">
      <c r="A46" s="347"/>
      <c r="B46" s="58"/>
      <c r="C46" s="30"/>
      <c r="D46" s="347"/>
      <c r="E46" s="347"/>
      <c r="F46" s="347"/>
      <c r="G46" s="62"/>
      <c r="H46" s="347"/>
      <c r="I46" s="347"/>
      <c r="J46" s="60"/>
      <c r="K46" s="108"/>
      <c r="L46" s="123"/>
      <c r="M46" s="54"/>
      <c r="N46" s="43"/>
      <c r="O46" s="44" t="s">
        <v>105</v>
      </c>
      <c r="P46" s="43"/>
      <c r="Q46" s="127">
        <v>-5367763.6100000003</v>
      </c>
      <c r="S46" s="46"/>
      <c r="T46" s="347"/>
    </row>
    <row r="47" spans="1:20" s="15" customFormat="1" ht="16.5" customHeight="1" x14ac:dyDescent="0.25">
      <c r="A47" s="347"/>
      <c r="B47" s="58"/>
      <c r="C47" s="30"/>
      <c r="D47" s="347"/>
      <c r="E47" s="347"/>
      <c r="F47" s="347"/>
      <c r="G47" s="62"/>
      <c r="H47" s="347"/>
      <c r="I47" s="347"/>
      <c r="J47" s="60"/>
      <c r="K47" s="108"/>
      <c r="L47" s="60"/>
      <c r="M47" s="227"/>
      <c r="N47" s="43"/>
      <c r="O47" s="44" t="s">
        <v>106</v>
      </c>
      <c r="P47" s="43"/>
      <c r="Q47" s="113"/>
      <c r="R47" s="42">
        <v>-142076970.28</v>
      </c>
      <c r="S47" s="46">
        <v>-142076970.28</v>
      </c>
      <c r="T47" s="347"/>
    </row>
    <row r="48" spans="1:20" s="15" customFormat="1" ht="16.5" customHeight="1" x14ac:dyDescent="0.25">
      <c r="A48" s="347"/>
      <c r="B48" s="58"/>
      <c r="C48" s="347"/>
      <c r="D48" s="347"/>
      <c r="E48" s="347"/>
      <c r="F48" s="347"/>
      <c r="G48" s="62"/>
      <c r="H48" s="347"/>
      <c r="I48" s="347"/>
      <c r="J48" s="60"/>
      <c r="K48" s="108"/>
      <c r="L48" s="60"/>
      <c r="M48" s="227"/>
      <c r="N48" s="43"/>
      <c r="O48" s="44" t="s">
        <v>107</v>
      </c>
      <c r="P48" s="43"/>
      <c r="Q48" s="128"/>
      <c r="R48" s="42">
        <v>474880.96999999881</v>
      </c>
      <c r="S48" s="46">
        <v>474880.96999999881</v>
      </c>
      <c r="T48" s="347"/>
    </row>
    <row r="49" spans="1:20" s="15" customFormat="1" ht="16.5" customHeight="1" x14ac:dyDescent="0.25">
      <c r="A49" s="347"/>
      <c r="B49" s="63"/>
      <c r="C49" s="64"/>
      <c r="D49" s="64"/>
      <c r="E49" s="64"/>
      <c r="F49" s="64"/>
      <c r="G49" s="65"/>
      <c r="H49" s="347"/>
      <c r="I49" s="347"/>
      <c r="J49" s="66"/>
      <c r="K49" s="109"/>
      <c r="L49" s="66"/>
      <c r="M49" s="228"/>
      <c r="N49" s="67"/>
      <c r="O49" s="326" t="s">
        <v>108</v>
      </c>
      <c r="P49" s="327"/>
      <c r="Q49" s="324">
        <f>-SUMIFS(Tabla3[EGRESOS],Tabla3[DEBITO],BALANCE!O49)</f>
        <v>-5382213.6900000013</v>
      </c>
      <c r="R49" s="125">
        <v>-27178366.690000001</v>
      </c>
      <c r="S49" s="46">
        <v>-27178366.690000001</v>
      </c>
      <c r="T49" s="347"/>
    </row>
    <row r="50" spans="1:20" s="15" customFormat="1" ht="16.5" customHeight="1" x14ac:dyDescent="0.25">
      <c r="A50" s="347"/>
      <c r="B50" s="16" t="s">
        <v>109</v>
      </c>
      <c r="C50" s="68">
        <v>276250861.88899994</v>
      </c>
      <c r="D50" s="348"/>
      <c r="E50" s="17" t="s">
        <v>110</v>
      </c>
      <c r="F50" s="348"/>
      <c r="G50" s="69">
        <v>276250861.88899994</v>
      </c>
      <c r="H50" s="347"/>
      <c r="I50" s="347"/>
      <c r="J50" s="19" t="s">
        <v>109</v>
      </c>
      <c r="K50" s="110">
        <f>+K3</f>
        <v>347188273.15999997</v>
      </c>
      <c r="L50" s="68">
        <f>+L17+L4</f>
        <v>546131539.13699865</v>
      </c>
      <c r="M50" s="229">
        <f>+M17+M4</f>
        <v>802377838.23899853</v>
      </c>
      <c r="N50" s="348"/>
      <c r="O50" s="20" t="s">
        <v>110</v>
      </c>
      <c r="P50" s="17"/>
      <c r="Q50" s="117">
        <f>+Q36+Q3</f>
        <v>347071303.81999987</v>
      </c>
      <c r="R50" s="70">
        <f>+R36+R3</f>
        <v>546131539.1370002</v>
      </c>
      <c r="S50" s="70">
        <f>+S36+S3</f>
        <v>807049871.40900016</v>
      </c>
      <c r="T50" s="347"/>
    </row>
    <row r="51" spans="1:20" s="15" customFormat="1" ht="16.5" customHeight="1" x14ac:dyDescent="0.25">
      <c r="A51" s="347"/>
      <c r="B51" s="347"/>
      <c r="C51" s="347"/>
      <c r="D51" s="347"/>
      <c r="E51" s="347"/>
      <c r="F51" s="71" t="s">
        <v>111</v>
      </c>
      <c r="G51" s="72">
        <v>0</v>
      </c>
      <c r="H51" s="347"/>
      <c r="I51" s="7" t="s">
        <v>112</v>
      </c>
      <c r="J51" s="7" t="s">
        <v>113</v>
      </c>
      <c r="K51" s="73">
        <f>K7/Q4</f>
        <v>12.788873547692425</v>
      </c>
      <c r="L51" s="73">
        <f t="shared" ref="L51:M51" si="0">L7/R4</f>
        <v>0</v>
      </c>
      <c r="M51" s="73">
        <f t="shared" si="0"/>
        <v>0</v>
      </c>
      <c r="N51" s="347"/>
      <c r="O51" s="347"/>
      <c r="P51" s="347"/>
      <c r="Q51" s="347"/>
      <c r="R51" s="347"/>
      <c r="S51" s="347"/>
      <c r="T51" s="347"/>
    </row>
    <row r="52" spans="1:20" s="15" customFormat="1" ht="16.5" customHeight="1" x14ac:dyDescent="0.25">
      <c r="A52" s="347"/>
      <c r="B52" s="347"/>
      <c r="C52" s="347"/>
      <c r="D52" s="347"/>
      <c r="E52" s="347"/>
      <c r="F52" s="347"/>
      <c r="G52" s="347"/>
      <c r="H52" s="347"/>
      <c r="I52" s="7" t="s">
        <v>114</v>
      </c>
      <c r="J52" s="7" t="s">
        <v>115</v>
      </c>
      <c r="K52" s="73">
        <f>Q24/Q36</f>
        <v>0.18775482406685265</v>
      </c>
      <c r="L52" s="73">
        <f t="shared" ref="L52" si="1">R24/R36</f>
        <v>0.64689315234051281</v>
      </c>
      <c r="M52" s="73">
        <f>S24/S36</f>
        <v>0.48851707756719204</v>
      </c>
      <c r="N52" s="347"/>
      <c r="O52" s="347"/>
      <c r="P52" s="120" t="s">
        <v>111</v>
      </c>
      <c r="Q52" s="292">
        <f>Q50-K50</f>
        <v>-116969.34000009298</v>
      </c>
      <c r="S52" s="74">
        <f>R50-L50</f>
        <v>1.5497207641601563E-6</v>
      </c>
      <c r="T52" s="347"/>
    </row>
    <row r="53" spans="1:20" s="15" customFormat="1" ht="16.5" customHeight="1" x14ac:dyDescent="0.25">
      <c r="A53" s="347"/>
      <c r="B53" s="347"/>
      <c r="C53" s="347"/>
      <c r="D53" s="347"/>
      <c r="E53" s="347"/>
      <c r="F53" s="347"/>
      <c r="G53" s="347"/>
      <c r="H53" s="347"/>
      <c r="I53" s="7" t="s">
        <v>116</v>
      </c>
      <c r="J53" s="7" t="s">
        <v>117</v>
      </c>
      <c r="K53" s="73">
        <f>Q3/K17</f>
        <v>4.9655673146700634</v>
      </c>
      <c r="L53" s="73">
        <f t="shared" ref="L53" si="2">R3/L17</f>
        <v>8.2805774289267298</v>
      </c>
      <c r="M53" s="73">
        <f>S3/M17</f>
        <v>10.565882914481035</v>
      </c>
      <c r="N53" s="347"/>
      <c r="O53" s="347"/>
      <c r="P53" s="347"/>
      <c r="Q53" s="347"/>
      <c r="R53" s="347"/>
      <c r="S53" s="347"/>
      <c r="T53" s="347"/>
    </row>
    <row r="54" spans="1:20" ht="16.5" customHeight="1" x14ac:dyDescent="0.25">
      <c r="A54" s="7"/>
      <c r="B54" s="7"/>
      <c r="C54" s="7"/>
      <c r="D54" s="7"/>
      <c r="E54" s="7"/>
      <c r="F54" s="7"/>
      <c r="G54" s="7"/>
      <c r="H54" s="7"/>
      <c r="I54" s="7" t="s">
        <v>118</v>
      </c>
      <c r="J54" s="7" t="s">
        <v>119</v>
      </c>
      <c r="K54" s="73">
        <f>Q3/K4</f>
        <v>0.17617967656021935</v>
      </c>
      <c r="L54" s="73">
        <f t="shared" ref="L54:M54" si="3">R3/L4</f>
        <v>0.48778017971109328</v>
      </c>
      <c r="M54" s="73">
        <f t="shared" si="3"/>
        <v>0.54658492066310649</v>
      </c>
      <c r="N54" s="7"/>
      <c r="O54" s="7"/>
      <c r="P54" s="7"/>
      <c r="Q54" s="126"/>
      <c r="R54" s="7"/>
      <c r="S54" s="7"/>
      <c r="T54" s="7"/>
    </row>
    <row r="55" spans="1:20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</row>
    <row r="56" spans="1:20" x14ac:dyDescent="0.25">
      <c r="A56" s="7"/>
      <c r="B56" s="7"/>
      <c r="C56" s="7"/>
      <c r="D56" s="7"/>
      <c r="E56" s="7"/>
      <c r="F56" s="7"/>
      <c r="G56" s="7"/>
      <c r="H56" s="7"/>
      <c r="I56" s="7"/>
      <c r="J56" s="271" t="s">
        <v>8</v>
      </c>
      <c r="K56" s="270">
        <v>45657</v>
      </c>
      <c r="L56" s="7"/>
      <c r="M56" s="7"/>
      <c r="N56" s="7"/>
      <c r="O56" s="7"/>
      <c r="P56" s="7"/>
      <c r="Q56" s="7"/>
      <c r="R56" s="7"/>
      <c r="S56" s="7"/>
      <c r="T56" s="7"/>
    </row>
    <row r="57" spans="1:20" x14ac:dyDescent="0.25">
      <c r="A57" s="7"/>
      <c r="B57" s="7"/>
      <c r="C57" s="7"/>
      <c r="D57" s="7"/>
      <c r="E57" s="7"/>
      <c r="F57" s="7"/>
      <c r="G57" s="7"/>
      <c r="H57" s="7"/>
      <c r="I57" s="7"/>
      <c r="J57" s="272" t="s">
        <v>11</v>
      </c>
      <c r="K57" s="273"/>
      <c r="L57" s="274"/>
      <c r="M57" s="7"/>
      <c r="N57" s="7"/>
      <c r="O57" s="7"/>
      <c r="P57" s="7"/>
      <c r="Q57" s="7"/>
      <c r="R57" s="7"/>
      <c r="S57" s="7"/>
      <c r="T57" s="7"/>
    </row>
    <row r="58" spans="1:20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</row>
    <row r="59" spans="1:20" x14ac:dyDescent="0.25">
      <c r="A59" s="7"/>
      <c r="B59" s="7"/>
      <c r="C59" s="7"/>
      <c r="D59" s="7"/>
      <c r="E59" s="7"/>
      <c r="F59" s="7"/>
      <c r="G59" s="7"/>
      <c r="H59" s="7"/>
      <c r="I59" s="7"/>
      <c r="J59" s="7" t="s">
        <v>20</v>
      </c>
      <c r="K59" s="119">
        <v>-4844669.16</v>
      </c>
      <c r="L59" s="7"/>
      <c r="M59" s="7"/>
      <c r="N59" s="7"/>
      <c r="O59" s="7"/>
      <c r="P59" s="7"/>
      <c r="Q59" s="7"/>
      <c r="R59" s="7"/>
      <c r="S59" s="7"/>
      <c r="T59" s="7"/>
    </row>
    <row r="60" spans="1:20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119"/>
      <c r="L60" s="7"/>
      <c r="M60" s="7" t="s">
        <v>120</v>
      </c>
      <c r="N60" s="7"/>
      <c r="O60" s="7"/>
      <c r="P60" s="119">
        <v>-4004246.6400013249</v>
      </c>
      <c r="Q60" s="7"/>
      <c r="R60" s="7"/>
      <c r="S60" s="7"/>
      <c r="T60" s="7"/>
    </row>
    <row r="61" spans="1:20" x14ac:dyDescent="0.25">
      <c r="A61" s="7"/>
      <c r="B61" s="7"/>
      <c r="C61" s="7"/>
      <c r="D61" s="7"/>
      <c r="E61" s="7"/>
      <c r="F61" s="7"/>
      <c r="G61" s="7"/>
      <c r="H61" s="7"/>
      <c r="I61" s="7"/>
      <c r="J61" s="7" t="s">
        <v>25</v>
      </c>
      <c r="K61" s="119">
        <v>22436.560000000522</v>
      </c>
      <c r="L61" s="7"/>
      <c r="M61" s="7" t="s">
        <v>121</v>
      </c>
      <c r="N61" s="7"/>
      <c r="O61" s="7"/>
      <c r="P61" s="275">
        <v>-1363516.9699986745</v>
      </c>
      <c r="Q61" s="7"/>
      <c r="R61" s="7"/>
      <c r="S61" s="7"/>
      <c r="T61" s="7"/>
    </row>
    <row r="62" spans="1:20" x14ac:dyDescent="0.25">
      <c r="A62" s="7"/>
      <c r="B62" s="7"/>
      <c r="C62" s="7"/>
      <c r="D62" s="7"/>
      <c r="E62" s="7"/>
      <c r="F62" s="7"/>
      <c r="G62" s="7"/>
      <c r="H62" s="7"/>
      <c r="I62" s="7"/>
      <c r="J62" s="7" t="s">
        <v>28</v>
      </c>
      <c r="K62" s="119">
        <v>26960.49</v>
      </c>
      <c r="L62" s="7"/>
      <c r="M62" s="7"/>
      <c r="N62" s="7"/>
      <c r="O62" s="7"/>
      <c r="P62" s="7"/>
      <c r="Q62" s="7"/>
      <c r="R62" s="7"/>
      <c r="S62" s="7"/>
      <c r="T62" s="7"/>
    </row>
    <row r="63" spans="1:20" x14ac:dyDescent="0.25">
      <c r="A63" s="7"/>
      <c r="B63" s="7"/>
      <c r="C63" s="7"/>
      <c r="D63" s="7"/>
      <c r="E63" s="7"/>
      <c r="F63" s="7"/>
      <c r="G63" s="7"/>
      <c r="H63" s="7"/>
      <c r="I63" s="7"/>
      <c r="J63" s="7" t="s">
        <v>30</v>
      </c>
      <c r="K63" s="119">
        <v>-572491.5</v>
      </c>
      <c r="L63" s="7"/>
      <c r="M63" s="7"/>
      <c r="N63" s="7"/>
      <c r="O63" s="7"/>
      <c r="P63" s="7"/>
      <c r="Q63" s="7"/>
      <c r="R63" s="7"/>
      <c r="S63" s="7"/>
      <c r="T63" s="7"/>
    </row>
    <row r="64" spans="1:20" x14ac:dyDescent="0.25">
      <c r="A64" s="7"/>
      <c r="B64" s="7"/>
      <c r="C64" s="7"/>
      <c r="D64" s="7"/>
      <c r="E64" s="7"/>
      <c r="F64" s="7"/>
      <c r="G64" s="7"/>
      <c r="H64" s="7"/>
      <c r="I64" s="7"/>
      <c r="J64" s="7" t="s">
        <v>32</v>
      </c>
      <c r="K64" s="119">
        <v>-5367763.6099999994</v>
      </c>
      <c r="L64" s="7"/>
      <c r="M64" s="7"/>
      <c r="N64" s="7"/>
      <c r="O64" s="7"/>
      <c r="P64" s="7"/>
      <c r="Q64" s="7"/>
      <c r="R64" s="7"/>
      <c r="S64" s="7"/>
      <c r="T64" s="7"/>
    </row>
    <row r="65" spans="1:20" x14ac:dyDescent="0.25">
      <c r="A65" s="7"/>
      <c r="B65" s="7"/>
      <c r="C65" s="7"/>
      <c r="D65" s="7"/>
      <c r="E65" s="7"/>
      <c r="F65" s="7"/>
      <c r="G65" s="7"/>
      <c r="H65" s="7"/>
      <c r="I65" s="7"/>
      <c r="J65" s="7" t="s">
        <v>122</v>
      </c>
      <c r="K65" s="119">
        <v>-2483829.0900013447</v>
      </c>
      <c r="L65" s="7"/>
      <c r="M65" s="7"/>
      <c r="N65" s="7"/>
      <c r="O65" s="7"/>
      <c r="P65" s="7"/>
      <c r="Q65" s="7"/>
      <c r="R65" s="7"/>
      <c r="S65" s="7"/>
      <c r="T65" s="7"/>
    </row>
    <row r="66" spans="1:20" x14ac:dyDescent="0.25">
      <c r="A66" s="7"/>
      <c r="B66" s="7"/>
      <c r="C66" s="7"/>
      <c r="D66" s="7"/>
      <c r="E66" s="7"/>
      <c r="F66" s="7"/>
      <c r="G66" s="7"/>
      <c r="I66" s="7"/>
      <c r="J66" s="7" t="s">
        <v>40</v>
      </c>
      <c r="K66" s="119">
        <v>-1520417.54999998</v>
      </c>
      <c r="L66" s="7"/>
      <c r="M66" s="7"/>
      <c r="N66" s="7"/>
      <c r="O66" s="7"/>
      <c r="P66" s="7"/>
      <c r="Q66" s="7"/>
      <c r="R66" s="7"/>
      <c r="S66" s="7"/>
      <c r="T66" s="7"/>
    </row>
    <row r="67" spans="1:20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</row>
    <row r="68" spans="1:20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</row>
    <row r="69" spans="1:20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</row>
    <row r="70" spans="1:20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</row>
    <row r="71" spans="1:20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</row>
    <row r="72" spans="1:20" x14ac:dyDescent="0.25">
      <c r="A72" s="7"/>
      <c r="B72" s="401" t="s">
        <v>123</v>
      </c>
      <c r="C72" s="401"/>
      <c r="D72" s="401"/>
      <c r="E72" s="401"/>
      <c r="F72" s="75">
        <v>378</v>
      </c>
      <c r="G72" s="14"/>
      <c r="H72" s="7"/>
      <c r="I72" s="7"/>
      <c r="J72" s="401" t="s">
        <v>124</v>
      </c>
      <c r="K72" s="401"/>
      <c r="L72" s="401"/>
      <c r="M72" s="401"/>
      <c r="N72" s="401"/>
      <c r="O72" s="401"/>
      <c r="P72" s="76">
        <v>1000</v>
      </c>
      <c r="Q72" s="76"/>
      <c r="S72" s="14"/>
      <c r="T72" s="7"/>
    </row>
    <row r="73" spans="1:20" x14ac:dyDescent="0.25">
      <c r="A73" s="7"/>
      <c r="B73" s="16" t="s">
        <v>2</v>
      </c>
      <c r="C73" s="17" t="s">
        <v>3</v>
      </c>
      <c r="D73" s="348"/>
      <c r="E73" s="348" t="s">
        <v>2</v>
      </c>
      <c r="F73" s="348"/>
      <c r="G73" s="18" t="s">
        <v>3</v>
      </c>
      <c r="H73" s="7"/>
      <c r="I73" s="7"/>
      <c r="J73" s="19" t="s">
        <v>2</v>
      </c>
      <c r="K73" s="20"/>
      <c r="L73" s="17" t="s">
        <v>5</v>
      </c>
      <c r="M73" s="348" t="s">
        <v>6</v>
      </c>
      <c r="N73" s="348"/>
      <c r="O73" s="20" t="s">
        <v>2</v>
      </c>
      <c r="P73" s="348"/>
      <c r="Q73" s="348"/>
      <c r="R73" s="17" t="s">
        <v>5</v>
      </c>
      <c r="S73" s="21" t="s">
        <v>6</v>
      </c>
      <c r="T73" s="7"/>
    </row>
    <row r="74" spans="1:20" x14ac:dyDescent="0.25">
      <c r="A74" s="7"/>
      <c r="B74" s="23" t="s">
        <v>9</v>
      </c>
      <c r="C74" s="77">
        <v>730822.3859497353</v>
      </c>
      <c r="D74" s="347"/>
      <c r="E74" s="22" t="s">
        <v>10</v>
      </c>
      <c r="F74" s="347"/>
      <c r="G74" s="78">
        <v>478189.51460317464</v>
      </c>
      <c r="H74" s="7"/>
      <c r="I74" s="7"/>
      <c r="J74" s="79" t="s">
        <v>9</v>
      </c>
      <c r="K74" s="104"/>
      <c r="L74" s="80">
        <v>545656.65816699865</v>
      </c>
      <c r="M74" s="80">
        <v>-9383.7587510000503</v>
      </c>
      <c r="N74" s="34"/>
      <c r="O74" s="35" t="s">
        <v>10</v>
      </c>
      <c r="P74" s="34"/>
      <c r="Q74" s="34"/>
      <c r="R74" s="80">
        <v>196593.30467700001</v>
      </c>
      <c r="S74" s="81">
        <v>0</v>
      </c>
      <c r="T74" s="7"/>
    </row>
    <row r="75" spans="1:20" x14ac:dyDescent="0.25">
      <c r="A75" s="7"/>
      <c r="B75" s="23" t="s">
        <v>14</v>
      </c>
      <c r="C75" s="82">
        <v>705531.18962698395</v>
      </c>
      <c r="D75" s="347"/>
      <c r="E75" s="22" t="s">
        <v>15</v>
      </c>
      <c r="F75" s="347"/>
      <c r="G75" s="83">
        <v>57677.953730158733</v>
      </c>
      <c r="H75" s="7"/>
      <c r="I75" s="7"/>
      <c r="J75" s="23" t="s">
        <v>14</v>
      </c>
      <c r="K75" s="22"/>
      <c r="L75" s="82">
        <v>515750.46297699865</v>
      </c>
      <c r="M75" s="82">
        <v>-9383.7587510000503</v>
      </c>
      <c r="N75" s="347"/>
      <c r="O75" s="22" t="s">
        <v>15</v>
      </c>
      <c r="P75" s="347"/>
      <c r="Q75" s="347"/>
      <c r="R75" s="82">
        <v>36234.937987000005</v>
      </c>
      <c r="S75" s="83">
        <v>0</v>
      </c>
      <c r="T75" s="7"/>
    </row>
    <row r="76" spans="1:20" x14ac:dyDescent="0.25">
      <c r="A76" s="7"/>
      <c r="B76" s="37" t="s">
        <v>16</v>
      </c>
      <c r="C76" s="84">
        <v>170.41298941798942</v>
      </c>
      <c r="D76" s="347"/>
      <c r="E76" s="39" t="s">
        <v>17</v>
      </c>
      <c r="F76" s="347"/>
      <c r="G76" s="85">
        <v>14253.439153439154</v>
      </c>
      <c r="H76" s="7"/>
      <c r="I76" s="7"/>
      <c r="J76" s="37" t="s">
        <v>16</v>
      </c>
      <c r="K76" s="39"/>
      <c r="L76" s="86"/>
      <c r="M76" s="86">
        <v>-9383.7587510000503</v>
      </c>
      <c r="N76" s="347"/>
      <c r="O76" s="87" t="s">
        <v>125</v>
      </c>
      <c r="P76" s="87" t="s">
        <v>24</v>
      </c>
      <c r="Q76" s="87"/>
      <c r="R76" s="88">
        <v>3845.296867</v>
      </c>
      <c r="S76" s="85"/>
      <c r="T76" s="7"/>
    </row>
    <row r="77" spans="1:20" x14ac:dyDescent="0.25">
      <c r="A77" s="7"/>
      <c r="B77" s="37"/>
      <c r="C77" s="84"/>
      <c r="D77" s="347"/>
      <c r="E77" s="39"/>
      <c r="F77" s="347"/>
      <c r="G77" s="85"/>
      <c r="H77" s="7"/>
      <c r="I77" s="7"/>
      <c r="J77" s="37"/>
      <c r="K77" s="39"/>
      <c r="L77" s="86"/>
      <c r="M77" s="86"/>
      <c r="N77" s="347"/>
      <c r="O77" s="87"/>
      <c r="P77" s="87" t="s">
        <v>27</v>
      </c>
      <c r="Q77" s="87"/>
      <c r="R77" s="88">
        <v>0</v>
      </c>
      <c r="S77" s="85"/>
      <c r="T77" s="7"/>
    </row>
    <row r="78" spans="1:20" x14ac:dyDescent="0.25">
      <c r="A78" s="7"/>
      <c r="B78" s="41" t="s">
        <v>22</v>
      </c>
      <c r="C78" s="86">
        <v>-24824.758600529225</v>
      </c>
      <c r="D78" s="347"/>
      <c r="E78" s="347"/>
      <c r="F78" s="39"/>
      <c r="G78" s="89"/>
      <c r="H78" s="7"/>
      <c r="I78" s="7"/>
      <c r="J78" s="37" t="s">
        <v>23</v>
      </c>
      <c r="K78" s="39"/>
      <c r="L78" s="84">
        <v>-2483.8290900013449</v>
      </c>
      <c r="M78" s="84"/>
      <c r="N78" s="347"/>
      <c r="O78" s="39" t="s">
        <v>39</v>
      </c>
      <c r="P78" s="347"/>
      <c r="Q78" s="347"/>
      <c r="R78" s="88">
        <v>0</v>
      </c>
      <c r="S78" s="90"/>
      <c r="T78" s="7"/>
    </row>
    <row r="79" spans="1:20" x14ac:dyDescent="0.25">
      <c r="A79" s="7"/>
      <c r="B79" s="41" t="s">
        <v>26</v>
      </c>
      <c r="C79" s="88">
        <v>5665.1243386243386</v>
      </c>
      <c r="D79" s="347"/>
      <c r="E79" s="50"/>
      <c r="F79" s="39"/>
      <c r="G79" s="89"/>
      <c r="H79" s="7"/>
      <c r="I79" s="7"/>
      <c r="J79" s="37" t="s">
        <v>26</v>
      </c>
      <c r="K79" s="39"/>
      <c r="L79" s="84">
        <v>7485.51458</v>
      </c>
      <c r="M79" s="84"/>
      <c r="N79" s="347"/>
      <c r="O79" s="39" t="s">
        <v>42</v>
      </c>
      <c r="P79" s="39"/>
      <c r="Q79" s="39"/>
      <c r="R79" s="88">
        <v>11250.743490000001</v>
      </c>
      <c r="S79" s="85"/>
      <c r="T79" s="7"/>
    </row>
    <row r="80" spans="1:20" x14ac:dyDescent="0.25">
      <c r="A80" s="7"/>
      <c r="B80" s="41" t="s">
        <v>29</v>
      </c>
      <c r="C80" s="88">
        <v>198963.9057936508</v>
      </c>
      <c r="D80" s="347"/>
      <c r="E80" s="50"/>
      <c r="F80" s="39"/>
      <c r="G80" s="89"/>
      <c r="H80" s="7"/>
      <c r="I80" s="7"/>
      <c r="J80" s="37" t="s">
        <v>29</v>
      </c>
      <c r="K80" s="39"/>
      <c r="L80" s="84">
        <v>176881.61529000002</v>
      </c>
      <c r="M80" s="84"/>
      <c r="N80" s="347"/>
      <c r="O80" s="39" t="s">
        <v>45</v>
      </c>
      <c r="P80" s="39"/>
      <c r="Q80" s="39"/>
      <c r="R80" s="88">
        <v>-41372.623769999998</v>
      </c>
      <c r="S80" s="85"/>
      <c r="T80" s="7"/>
    </row>
    <row r="81" spans="1:20" x14ac:dyDescent="0.25">
      <c r="A81" s="7"/>
      <c r="B81" s="41" t="s">
        <v>33</v>
      </c>
      <c r="C81" s="88">
        <v>47307.511137566136</v>
      </c>
      <c r="D81" s="347"/>
      <c r="E81" s="39" t="s">
        <v>50</v>
      </c>
      <c r="F81" s="39" t="s">
        <v>21</v>
      </c>
      <c r="G81" s="89">
        <v>170.41298941798942</v>
      </c>
      <c r="H81" s="7"/>
      <c r="I81" s="7"/>
      <c r="J81" s="37" t="s">
        <v>33</v>
      </c>
      <c r="K81" s="39"/>
      <c r="L81" s="84">
        <v>231593.70682999995</v>
      </c>
      <c r="M81" s="84"/>
      <c r="N81" s="347"/>
      <c r="O81" s="39" t="s">
        <v>126</v>
      </c>
      <c r="P81" s="39" t="s">
        <v>51</v>
      </c>
      <c r="Q81" s="39"/>
      <c r="R81" s="88">
        <v>3326</v>
      </c>
      <c r="S81" s="91"/>
      <c r="T81" s="7"/>
    </row>
    <row r="82" spans="1:20" x14ac:dyDescent="0.25">
      <c r="A82" s="7"/>
      <c r="B82" s="37" t="s">
        <v>35</v>
      </c>
      <c r="C82" s="88">
        <v>420511.56087301584</v>
      </c>
      <c r="D82" s="347"/>
      <c r="E82" s="39" t="s">
        <v>55</v>
      </c>
      <c r="F82" s="39" t="s">
        <v>56</v>
      </c>
      <c r="G82" s="89">
        <v>12170.489417989418</v>
      </c>
      <c r="H82" s="7"/>
      <c r="I82" s="7"/>
      <c r="J82" s="92" t="s">
        <v>38</v>
      </c>
      <c r="K82" s="7"/>
      <c r="L82" s="84">
        <v>17912.239659999999</v>
      </c>
      <c r="M82" s="84"/>
      <c r="N82" s="347"/>
      <c r="O82" s="347"/>
      <c r="P82" s="39" t="s">
        <v>57</v>
      </c>
      <c r="Q82" s="39"/>
      <c r="R82" s="88">
        <v>29900</v>
      </c>
      <c r="S82" s="85"/>
      <c r="T82" s="7"/>
    </row>
    <row r="83" spans="1:20" x14ac:dyDescent="0.25">
      <c r="A83" s="7"/>
      <c r="B83" s="37" t="s">
        <v>37</v>
      </c>
      <c r="C83" s="88">
        <v>57737.433095238099</v>
      </c>
      <c r="D83" s="347"/>
      <c r="E83" s="39"/>
      <c r="F83" s="39" t="s">
        <v>59</v>
      </c>
      <c r="G83" s="89">
        <v>31083.612169312171</v>
      </c>
      <c r="H83" s="7"/>
      <c r="I83" s="7"/>
      <c r="J83" s="37" t="s">
        <v>41</v>
      </c>
      <c r="K83" s="39"/>
      <c r="L83" s="84">
        <v>64895.95</v>
      </c>
      <c r="M83" s="84"/>
      <c r="N83" s="347"/>
      <c r="O83" s="347"/>
      <c r="P83" s="39" t="s">
        <v>61</v>
      </c>
      <c r="Q83" s="39"/>
      <c r="R83" s="88">
        <v>22500</v>
      </c>
      <c r="S83" s="85"/>
      <c r="T83" s="7"/>
    </row>
    <row r="84" spans="1:20" x14ac:dyDescent="0.25">
      <c r="A84" s="7"/>
      <c r="B84" s="37"/>
      <c r="C84" s="30"/>
      <c r="D84" s="347"/>
      <c r="E84" s="39"/>
      <c r="F84" s="39"/>
      <c r="G84" s="89"/>
      <c r="H84" s="7"/>
      <c r="I84" s="7"/>
      <c r="J84" s="92" t="s">
        <v>44</v>
      </c>
      <c r="K84" s="7"/>
      <c r="L84" s="84">
        <v>19465.265706999999</v>
      </c>
      <c r="M84" s="84"/>
      <c r="N84" s="347"/>
      <c r="O84" s="39" t="s">
        <v>127</v>
      </c>
      <c r="P84" s="39" t="s">
        <v>68</v>
      </c>
      <c r="Q84" s="39"/>
      <c r="R84" s="88">
        <v>5491.3370000000004</v>
      </c>
      <c r="S84" s="93"/>
      <c r="T84" s="7"/>
    </row>
    <row r="85" spans="1:20" x14ac:dyDescent="0.25">
      <c r="A85" s="7"/>
      <c r="B85" s="37"/>
      <c r="C85" s="30"/>
      <c r="D85" s="347"/>
      <c r="E85" s="39"/>
      <c r="F85" s="39"/>
      <c r="G85" s="89"/>
      <c r="H85" s="7"/>
      <c r="I85" s="7"/>
      <c r="J85" s="92"/>
      <c r="K85" s="7"/>
      <c r="L85" s="84"/>
      <c r="M85" s="84"/>
      <c r="N85" s="347"/>
      <c r="O85" s="39" t="s">
        <v>72</v>
      </c>
      <c r="P85" s="39"/>
      <c r="Q85" s="39"/>
      <c r="R85" s="88">
        <v>1294.1844000000001</v>
      </c>
      <c r="S85" s="93"/>
      <c r="T85" s="7"/>
    </row>
    <row r="86" spans="1:20" x14ac:dyDescent="0.25">
      <c r="A86" s="7"/>
      <c r="B86" s="23" t="s">
        <v>47</v>
      </c>
      <c r="C86" s="82">
        <v>25291.196322751326</v>
      </c>
      <c r="D86" s="43"/>
      <c r="E86" s="59" t="s">
        <v>74</v>
      </c>
      <c r="F86" s="43"/>
      <c r="G86" s="94">
        <v>420511.5608730159</v>
      </c>
      <c r="H86" s="7"/>
      <c r="I86" s="7"/>
      <c r="J86" s="23" t="s">
        <v>47</v>
      </c>
      <c r="K86" s="22"/>
      <c r="L86" s="82">
        <v>29906.195189999999</v>
      </c>
      <c r="M86" s="82">
        <v>0</v>
      </c>
      <c r="N86" s="347"/>
      <c r="O86" s="22" t="s">
        <v>74</v>
      </c>
      <c r="P86" s="347"/>
      <c r="Q86" s="347"/>
      <c r="R86" s="82">
        <v>160358.36669</v>
      </c>
      <c r="S86" s="83">
        <v>0</v>
      </c>
      <c r="T86" s="7"/>
    </row>
    <row r="87" spans="1:20" x14ac:dyDescent="0.25">
      <c r="A87" s="7"/>
      <c r="B87" s="37" t="s">
        <v>49</v>
      </c>
      <c r="C87" s="84">
        <v>17246.367936507941</v>
      </c>
      <c r="D87" s="347"/>
      <c r="E87" s="39" t="s">
        <v>76</v>
      </c>
      <c r="F87" s="39" t="s">
        <v>77</v>
      </c>
      <c r="G87" s="89">
        <v>65317.687830687828</v>
      </c>
      <c r="H87" s="7"/>
      <c r="I87" s="7"/>
      <c r="J87" s="37" t="s">
        <v>49</v>
      </c>
      <c r="K87" s="39"/>
      <c r="L87" s="95">
        <v>21496.90092</v>
      </c>
      <c r="M87" s="95"/>
      <c r="N87" s="347"/>
      <c r="O87" s="39" t="s">
        <v>78</v>
      </c>
      <c r="P87" s="39" t="s">
        <v>79</v>
      </c>
      <c r="Q87" s="39"/>
      <c r="R87" s="84">
        <v>3000</v>
      </c>
      <c r="S87" s="89"/>
      <c r="T87" s="7"/>
    </row>
    <row r="88" spans="1:20" x14ac:dyDescent="0.25">
      <c r="A88" s="7"/>
      <c r="B88" s="37" t="s">
        <v>54</v>
      </c>
      <c r="C88" s="84">
        <v>8044.8283862433873</v>
      </c>
      <c r="D88" s="347"/>
      <c r="E88" s="347"/>
      <c r="F88" s="39" t="s">
        <v>57</v>
      </c>
      <c r="G88" s="89">
        <v>237932.30756613758</v>
      </c>
      <c r="H88" s="7"/>
      <c r="I88" s="7"/>
      <c r="J88" s="37" t="s">
        <v>54</v>
      </c>
      <c r="K88" s="39"/>
      <c r="L88" s="95">
        <v>8409.2942700000003</v>
      </c>
      <c r="M88" s="95"/>
      <c r="N88" s="347"/>
      <c r="O88" s="22"/>
      <c r="P88" s="39" t="s">
        <v>128</v>
      </c>
      <c r="Q88" s="39"/>
      <c r="R88" s="84">
        <v>17500</v>
      </c>
      <c r="S88" s="89"/>
      <c r="T88" s="7"/>
    </row>
    <row r="89" spans="1:20" x14ac:dyDescent="0.25">
      <c r="A89" s="7"/>
      <c r="B89" s="58"/>
      <c r="C89" s="84"/>
      <c r="D89" s="347"/>
      <c r="E89" s="347"/>
      <c r="F89" s="39" t="s">
        <v>81</v>
      </c>
      <c r="G89" s="89">
        <v>1153.2185978835978</v>
      </c>
      <c r="H89" s="7"/>
      <c r="I89" s="7"/>
      <c r="J89" s="37" t="s">
        <v>60</v>
      </c>
      <c r="K89" s="39"/>
      <c r="L89" s="95">
        <v>0</v>
      </c>
      <c r="M89" s="95"/>
      <c r="N89" s="347"/>
      <c r="O89" s="22"/>
      <c r="P89" s="39" t="s">
        <v>82</v>
      </c>
      <c r="Q89" s="39"/>
      <c r="R89" s="84">
        <v>24550</v>
      </c>
      <c r="S89" s="89"/>
      <c r="T89" s="7"/>
    </row>
    <row r="90" spans="1:20" x14ac:dyDescent="0.25">
      <c r="A90" s="7"/>
      <c r="B90" s="58"/>
      <c r="C90" s="84"/>
      <c r="D90" s="347"/>
      <c r="E90" s="347"/>
      <c r="F90" s="39" t="s">
        <v>83</v>
      </c>
      <c r="G90" s="89">
        <v>10288.241058201058</v>
      </c>
      <c r="H90" s="7"/>
      <c r="I90" s="7"/>
      <c r="J90" s="58"/>
      <c r="K90" s="347"/>
      <c r="L90" s="96"/>
      <c r="M90" s="82"/>
      <c r="N90" s="347"/>
      <c r="O90" s="22"/>
      <c r="P90" s="39" t="s">
        <v>84</v>
      </c>
      <c r="Q90" s="39"/>
      <c r="R90" s="84">
        <v>19730</v>
      </c>
      <c r="S90" s="89"/>
      <c r="T90" s="7"/>
    </row>
    <row r="91" spans="1:20" x14ac:dyDescent="0.25">
      <c r="A91" s="7"/>
      <c r="B91" s="58"/>
      <c r="C91" s="82"/>
      <c r="D91" s="347"/>
      <c r="E91" s="347"/>
      <c r="F91" s="39" t="s">
        <v>85</v>
      </c>
      <c r="G91" s="89">
        <v>105820.10582010582</v>
      </c>
      <c r="H91" s="7"/>
      <c r="I91" s="7"/>
      <c r="J91" s="58"/>
      <c r="K91" s="347"/>
      <c r="L91" s="82"/>
      <c r="M91" s="82"/>
      <c r="N91" s="347"/>
      <c r="O91" s="22"/>
      <c r="P91" s="39" t="s">
        <v>79</v>
      </c>
      <c r="Q91" s="39"/>
      <c r="R91" s="84">
        <v>48500</v>
      </c>
      <c r="S91" s="89"/>
      <c r="T91" s="7"/>
    </row>
    <row r="92" spans="1:20" x14ac:dyDescent="0.25">
      <c r="A92" s="7"/>
      <c r="B92" s="58"/>
      <c r="C92" s="82"/>
      <c r="D92" s="347"/>
      <c r="E92" s="347"/>
      <c r="F92" s="39"/>
      <c r="G92" s="89"/>
      <c r="H92" s="7"/>
      <c r="I92" s="7"/>
      <c r="J92" s="58"/>
      <c r="K92" s="347"/>
      <c r="L92" s="82"/>
      <c r="M92" s="82"/>
      <c r="N92" s="347"/>
      <c r="O92" s="22"/>
      <c r="P92" s="39" t="s">
        <v>87</v>
      </c>
      <c r="Q92" s="39"/>
      <c r="R92" s="84">
        <v>19900</v>
      </c>
      <c r="S92" s="89"/>
      <c r="T92" s="7"/>
    </row>
    <row r="93" spans="1:20" x14ac:dyDescent="0.25">
      <c r="A93" s="7"/>
      <c r="B93" s="58"/>
      <c r="C93" s="82"/>
      <c r="D93" s="347"/>
      <c r="E93" s="347"/>
      <c r="F93" s="39"/>
      <c r="G93" s="89"/>
      <c r="H93" s="7"/>
      <c r="I93" s="7"/>
      <c r="J93" s="58"/>
      <c r="K93" s="347"/>
      <c r="L93" s="82"/>
      <c r="M93" s="82"/>
      <c r="N93" s="347"/>
      <c r="O93" s="39" t="s">
        <v>94</v>
      </c>
      <c r="P93" s="39"/>
      <c r="Q93" s="39"/>
      <c r="R93" s="84">
        <v>27178.366690000003</v>
      </c>
      <c r="S93" s="89"/>
      <c r="T93" s="7"/>
    </row>
    <row r="94" spans="1:20" x14ac:dyDescent="0.25">
      <c r="A94" s="7"/>
      <c r="B94" s="58"/>
      <c r="C94" s="30"/>
      <c r="D94" s="347"/>
      <c r="E94" s="22" t="s">
        <v>88</v>
      </c>
      <c r="F94" s="347"/>
      <c r="G94" s="78">
        <v>252632.8713465608</v>
      </c>
      <c r="H94" s="7"/>
      <c r="I94" s="7"/>
      <c r="J94" s="58"/>
      <c r="K94" s="347"/>
      <c r="L94" s="82"/>
      <c r="M94" s="82"/>
      <c r="N94" s="347"/>
      <c r="O94" s="39"/>
      <c r="P94" s="39"/>
      <c r="Q94" s="39"/>
      <c r="R94" s="88"/>
      <c r="S94" s="83"/>
      <c r="T94" s="7"/>
    </row>
    <row r="95" spans="1:20" x14ac:dyDescent="0.25">
      <c r="A95" s="7"/>
      <c r="B95" s="58"/>
      <c r="C95" s="30"/>
      <c r="D95" s="347"/>
      <c r="E95" s="39" t="s">
        <v>93</v>
      </c>
      <c r="F95" s="347"/>
      <c r="G95" s="89">
        <v>29999.184550264548</v>
      </c>
      <c r="H95" s="7"/>
      <c r="I95" s="7"/>
      <c r="J95" s="58"/>
      <c r="K95" s="347"/>
      <c r="L95" s="82"/>
      <c r="M95" s="82"/>
      <c r="N95" s="347"/>
      <c r="O95" s="22" t="s">
        <v>88</v>
      </c>
      <c r="P95" s="347"/>
      <c r="Q95" s="347"/>
      <c r="R95" s="82">
        <v>294558.68562000012</v>
      </c>
      <c r="S95" s="83">
        <v>0</v>
      </c>
      <c r="T95" s="7"/>
    </row>
    <row r="96" spans="1:20" x14ac:dyDescent="0.25">
      <c r="A96" s="7"/>
      <c r="B96" s="58"/>
      <c r="C96" s="30"/>
      <c r="D96" s="347"/>
      <c r="E96" s="39" t="s">
        <v>95</v>
      </c>
      <c r="F96" s="347"/>
      <c r="G96" s="89">
        <v>0</v>
      </c>
      <c r="H96" s="7"/>
      <c r="I96" s="7"/>
      <c r="J96" s="58"/>
      <c r="K96" s="347"/>
      <c r="L96" s="82"/>
      <c r="M96" s="82"/>
      <c r="N96" s="347"/>
      <c r="O96" s="87" t="s">
        <v>97</v>
      </c>
      <c r="P96" s="97"/>
      <c r="Q96" s="97"/>
      <c r="R96" s="86">
        <v>7364.2</v>
      </c>
      <c r="S96" s="89"/>
      <c r="T96" s="7"/>
    </row>
    <row r="97" spans="1:20" x14ac:dyDescent="0.25">
      <c r="A97" s="7"/>
      <c r="B97" s="58"/>
      <c r="C97" s="347"/>
      <c r="D97" s="347"/>
      <c r="E97" s="39" t="s">
        <v>96</v>
      </c>
      <c r="F97" s="347"/>
      <c r="G97" s="89">
        <v>282698.61058201053</v>
      </c>
      <c r="H97" s="7"/>
      <c r="I97" s="7"/>
      <c r="J97" s="58"/>
      <c r="K97" s="347"/>
      <c r="L97" s="82"/>
      <c r="M97" s="82"/>
      <c r="N97" s="347"/>
      <c r="O97" s="39" t="s">
        <v>99</v>
      </c>
      <c r="P97" s="347"/>
      <c r="Q97" s="347"/>
      <c r="R97" s="88">
        <v>-16370.93411</v>
      </c>
      <c r="S97" s="89"/>
      <c r="T97" s="7"/>
    </row>
    <row r="98" spans="1:20" x14ac:dyDescent="0.25">
      <c r="A98" s="7"/>
      <c r="B98" s="58"/>
      <c r="C98" s="347"/>
      <c r="D98" s="347"/>
      <c r="E98" s="39" t="s">
        <v>98</v>
      </c>
      <c r="F98" s="347"/>
      <c r="G98" s="89">
        <v>-60064.923785714287</v>
      </c>
      <c r="H98" s="7"/>
      <c r="I98" s="7"/>
      <c r="J98" s="58"/>
      <c r="K98" s="347"/>
      <c r="L98" s="82"/>
      <c r="M98" s="82"/>
      <c r="N98" s="347"/>
      <c r="O98" s="39" t="s">
        <v>100</v>
      </c>
      <c r="P98" s="39" t="s">
        <v>129</v>
      </c>
      <c r="Q98" s="39"/>
      <c r="R98" s="88">
        <v>-4577.8980000000001</v>
      </c>
      <c r="S98" s="89"/>
      <c r="T98" s="7"/>
    </row>
    <row r="99" spans="1:20" x14ac:dyDescent="0.25">
      <c r="A99" s="7"/>
      <c r="B99" s="16" t="s">
        <v>109</v>
      </c>
      <c r="C99" s="98">
        <v>730822.3859497353</v>
      </c>
      <c r="D99" s="348"/>
      <c r="E99" s="17" t="s">
        <v>110</v>
      </c>
      <c r="F99" s="348"/>
      <c r="G99" s="98">
        <v>730822.38594973541</v>
      </c>
      <c r="H99" s="7"/>
      <c r="I99" s="7"/>
      <c r="J99" s="58"/>
      <c r="K99" s="347"/>
      <c r="L99" s="82"/>
      <c r="M99" s="82"/>
      <c r="N99" s="347"/>
      <c r="O99" s="347"/>
      <c r="P99" s="39" t="s">
        <v>130</v>
      </c>
      <c r="Q99" s="39"/>
      <c r="R99" s="88">
        <v>-4908.174</v>
      </c>
      <c r="S99" s="89"/>
      <c r="T99" s="7"/>
    </row>
    <row r="100" spans="1:20" x14ac:dyDescent="0.25">
      <c r="A100" s="7"/>
      <c r="B100" s="7"/>
      <c r="C100" s="7"/>
      <c r="D100" s="7"/>
      <c r="E100" s="7"/>
      <c r="F100" s="71" t="s">
        <v>111</v>
      </c>
      <c r="G100" s="72">
        <v>0</v>
      </c>
      <c r="H100" s="7"/>
      <c r="I100" s="7"/>
      <c r="J100" s="58"/>
      <c r="K100" s="347"/>
      <c r="L100" s="82"/>
      <c r="M100" s="82"/>
      <c r="N100" s="347"/>
      <c r="O100" s="347"/>
      <c r="P100" s="39" t="s">
        <v>131</v>
      </c>
      <c r="Q100" s="39"/>
      <c r="R100" s="88">
        <v>-4286</v>
      </c>
      <c r="S100" s="89"/>
      <c r="T100" s="7"/>
    </row>
    <row r="101" spans="1:20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58"/>
      <c r="K101" s="347"/>
      <c r="L101" s="82"/>
      <c r="M101" s="82"/>
      <c r="N101" s="347"/>
      <c r="O101" s="39" t="s">
        <v>95</v>
      </c>
      <c r="P101" s="347"/>
      <c r="Q101" s="347"/>
      <c r="R101" s="88">
        <v>0</v>
      </c>
      <c r="S101" s="89"/>
      <c r="T101" s="7"/>
    </row>
    <row r="102" spans="1:20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58"/>
      <c r="K102" s="347"/>
      <c r="L102" s="82"/>
      <c r="M102" s="82"/>
      <c r="N102" s="347"/>
      <c r="O102" s="39" t="s">
        <v>96</v>
      </c>
      <c r="P102" s="347"/>
      <c r="Q102" s="347"/>
      <c r="R102" s="88">
        <v>532760.20614000014</v>
      </c>
      <c r="S102" s="89"/>
      <c r="T102" s="7"/>
    </row>
    <row r="103" spans="1:20" x14ac:dyDescent="0.25">
      <c r="A103" s="7"/>
      <c r="B103" s="7"/>
      <c r="C103" s="7"/>
      <c r="D103" s="7"/>
      <c r="E103" s="7"/>
      <c r="F103" s="99"/>
      <c r="G103" s="7"/>
      <c r="H103" s="7"/>
      <c r="I103" s="7"/>
      <c r="J103" s="58"/>
      <c r="K103" s="347"/>
      <c r="L103" s="82"/>
      <c r="M103" s="82"/>
      <c r="N103" s="347"/>
      <c r="O103" s="39" t="s">
        <v>98</v>
      </c>
      <c r="P103" s="347"/>
      <c r="Q103" s="347"/>
      <c r="R103" s="88">
        <v>-39856.737010000004</v>
      </c>
      <c r="S103" s="89"/>
      <c r="T103" s="7"/>
    </row>
    <row r="104" spans="1:20" x14ac:dyDescent="0.25">
      <c r="A104" s="7"/>
      <c r="B104" s="7"/>
      <c r="C104" s="7"/>
      <c r="D104" s="7"/>
      <c r="E104" s="7"/>
      <c r="F104" s="99"/>
      <c r="G104" s="7"/>
      <c r="H104" s="7"/>
      <c r="I104" s="7"/>
      <c r="J104" s="58"/>
      <c r="K104" s="347"/>
      <c r="L104" s="82"/>
      <c r="M104" s="82"/>
      <c r="N104" s="347"/>
      <c r="O104" s="39" t="s">
        <v>132</v>
      </c>
      <c r="P104" s="347"/>
      <c r="Q104" s="347"/>
      <c r="R104" s="88">
        <v>-6785.5214000000005</v>
      </c>
      <c r="S104" s="89"/>
      <c r="T104" s="7"/>
    </row>
    <row r="105" spans="1:20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58"/>
      <c r="K105" s="347"/>
      <c r="L105" s="96"/>
      <c r="M105" s="96"/>
      <c r="N105" s="347"/>
      <c r="O105" s="39" t="s">
        <v>106</v>
      </c>
      <c r="P105" s="347"/>
      <c r="Q105" s="347"/>
      <c r="R105" s="88">
        <v>-142076.97028000001</v>
      </c>
      <c r="S105" s="89"/>
      <c r="T105" s="7"/>
    </row>
    <row r="106" spans="1:20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58"/>
      <c r="K106" s="347"/>
      <c r="L106" s="96"/>
      <c r="M106" s="96"/>
      <c r="N106" s="347"/>
      <c r="O106" s="39" t="s">
        <v>107</v>
      </c>
      <c r="P106" s="347"/>
      <c r="Q106" s="347"/>
      <c r="R106" s="88">
        <v>474.8809699999988</v>
      </c>
      <c r="S106" s="89"/>
      <c r="T106" s="7"/>
    </row>
    <row r="107" spans="1:20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63"/>
      <c r="K107" s="64"/>
      <c r="L107" s="100"/>
      <c r="M107" s="100"/>
      <c r="N107" s="64"/>
      <c r="O107" s="101" t="s">
        <v>108</v>
      </c>
      <c r="P107" s="64"/>
      <c r="Q107" s="347"/>
      <c r="R107" s="88">
        <v>-27178.366690000003</v>
      </c>
      <c r="S107" s="89"/>
      <c r="T107" s="7"/>
    </row>
    <row r="108" spans="1:20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19" t="s">
        <v>109</v>
      </c>
      <c r="K108" s="20"/>
      <c r="L108" s="102">
        <v>545656.65816699865</v>
      </c>
      <c r="M108" s="102">
        <v>-9383.7587510000503</v>
      </c>
      <c r="N108" s="348"/>
      <c r="O108" s="20" t="s">
        <v>110</v>
      </c>
      <c r="P108" s="17"/>
      <c r="Q108" s="17"/>
      <c r="R108" s="103">
        <v>491151.99029700016</v>
      </c>
      <c r="S108" s="98">
        <v>0</v>
      </c>
      <c r="T108" s="7"/>
    </row>
    <row r="109" spans="1:20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1" t="s">
        <v>111</v>
      </c>
      <c r="S109" s="72">
        <v>0</v>
      </c>
      <c r="T109" s="7"/>
    </row>
    <row r="110" spans="1:20" x14ac:dyDescent="0.25">
      <c r="L110" s="11"/>
    </row>
  </sheetData>
  <mergeCells count="4">
    <mergeCell ref="B1:G1"/>
    <mergeCell ref="J1:S1"/>
    <mergeCell ref="B72:E72"/>
    <mergeCell ref="J72:O72"/>
  </mergeCells>
  <conditionalFormatting sqref="L6">
    <cfRule type="cellIs" dxfId="0" priority="1" operator="greaterThan">
      <formula>0</formula>
    </cfRule>
  </conditionalFormatting>
  <pageMargins left="0.25" right="0.25" top="0.75" bottom="0.75" header="0.3" footer="0.3"/>
  <pageSetup paperSize="5" orientation="landscape" r:id="rId1"/>
  <ignoredErrors>
    <ignoredError sqref="K8:K12 K3" unlocked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7A574-146D-4575-B412-0A90223E43A5}">
  <sheetPr codeName="Hoja6">
    <tabColor theme="0"/>
    <pageSetUpPr fitToPage="1"/>
  </sheetPr>
  <dimension ref="A1:L38"/>
  <sheetViews>
    <sheetView topLeftCell="C25" zoomScale="90" zoomScaleNormal="90" workbookViewId="0">
      <selection activeCell="K31" sqref="K31"/>
    </sheetView>
  </sheetViews>
  <sheetFormatPr baseColWidth="10" defaultColWidth="12.5703125" defaultRowHeight="16.5" x14ac:dyDescent="0.3"/>
  <cols>
    <col min="1" max="1" width="33.85546875" style="140" customWidth="1"/>
    <col min="2" max="2" width="19.28515625" style="140" bestFit="1" customWidth="1"/>
    <col min="3" max="3" width="15.7109375" style="140" bestFit="1" customWidth="1"/>
    <col min="4" max="4" width="20.5703125" style="140" customWidth="1"/>
    <col min="5" max="5" width="19.85546875" style="140" bestFit="1" customWidth="1"/>
    <col min="6" max="6" width="19.85546875" style="140" customWidth="1"/>
    <col min="7" max="8" width="19.85546875" style="140" bestFit="1" customWidth="1"/>
    <col min="9" max="9" width="17.28515625" style="140" customWidth="1"/>
    <col min="10" max="10" width="19.42578125" style="140" customWidth="1"/>
    <col min="11" max="11" width="19.85546875" style="140" bestFit="1" customWidth="1"/>
    <col min="12" max="12" width="3.140625" style="140" customWidth="1"/>
    <col min="13" max="13" width="2.140625" style="140" customWidth="1"/>
    <col min="14" max="14" width="17.42578125" style="140" bestFit="1" customWidth="1"/>
    <col min="15" max="16384" width="12.5703125" style="140"/>
  </cols>
  <sheetData>
    <row r="1" spans="1:12" x14ac:dyDescent="0.3">
      <c r="A1" s="179"/>
      <c r="B1" s="180"/>
      <c r="C1" s="180"/>
      <c r="D1" s="180"/>
      <c r="E1" s="180"/>
      <c r="F1" s="180"/>
      <c r="G1" s="180"/>
      <c r="H1" s="180"/>
      <c r="I1" s="180"/>
      <c r="J1" s="180"/>
      <c r="K1" s="181"/>
      <c r="L1" s="141"/>
    </row>
    <row r="2" spans="1:12" ht="15" customHeight="1" x14ac:dyDescent="0.3">
      <c r="A2" s="402" t="s">
        <v>133</v>
      </c>
      <c r="B2" s="402"/>
      <c r="C2" s="402"/>
      <c r="D2" s="402"/>
      <c r="E2" s="402"/>
      <c r="F2" s="402"/>
      <c r="G2" s="402"/>
      <c r="H2" s="402"/>
      <c r="I2" s="402"/>
      <c r="J2" s="402"/>
      <c r="K2" s="402"/>
      <c r="L2" s="142"/>
    </row>
    <row r="3" spans="1:12" ht="15" customHeight="1" x14ac:dyDescent="0.3">
      <c r="A3" s="402" t="s">
        <v>134</v>
      </c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142"/>
    </row>
    <row r="4" spans="1:12" ht="15" customHeight="1" x14ac:dyDescent="0.3">
      <c r="A4" s="402" t="s">
        <v>135</v>
      </c>
      <c r="B4" s="402"/>
      <c r="C4" s="402"/>
      <c r="D4" s="402"/>
      <c r="E4" s="402"/>
      <c r="F4" s="402"/>
      <c r="G4" s="402"/>
      <c r="H4" s="402"/>
      <c r="I4" s="402"/>
      <c r="J4" s="402"/>
      <c r="K4" s="402"/>
      <c r="L4" s="142"/>
    </row>
    <row r="5" spans="1:12" x14ac:dyDescent="0.3">
      <c r="A5" s="402" t="s">
        <v>136</v>
      </c>
      <c r="B5" s="402"/>
      <c r="C5" s="402"/>
      <c r="D5" s="402"/>
      <c r="E5" s="402"/>
      <c r="F5" s="402"/>
      <c r="G5" s="402"/>
      <c r="H5" s="402"/>
      <c r="I5" s="402"/>
      <c r="J5" s="402"/>
      <c r="K5" s="402"/>
      <c r="L5" s="143"/>
    </row>
    <row r="6" spans="1:12" x14ac:dyDescent="0.3">
      <c r="A6" s="349"/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44"/>
    </row>
    <row r="7" spans="1:12" ht="17.25" thickBot="1" x14ac:dyDescent="0.35">
      <c r="A7" s="183"/>
      <c r="B7" s="184"/>
      <c r="C7" s="180"/>
      <c r="D7" s="180"/>
      <c r="E7" s="180"/>
      <c r="F7" s="180"/>
      <c r="G7" s="180"/>
      <c r="H7" s="180"/>
      <c r="I7" s="180"/>
      <c r="J7" s="180"/>
      <c r="K7" s="185"/>
      <c r="L7" s="145"/>
    </row>
    <row r="8" spans="1:12" ht="20.25" customHeight="1" thickTop="1" x14ac:dyDescent="0.3">
      <c r="A8" s="151" t="s">
        <v>137</v>
      </c>
      <c r="B8" s="152"/>
      <c r="C8" s="153"/>
      <c r="D8" s="153"/>
      <c r="E8" s="403" t="s">
        <v>138</v>
      </c>
      <c r="F8" s="404"/>
      <c r="G8" s="405"/>
      <c r="H8" s="153"/>
      <c r="I8" s="153"/>
      <c r="J8" s="154"/>
      <c r="K8" s="154"/>
      <c r="L8" s="146"/>
    </row>
    <row r="9" spans="1:12" x14ac:dyDescent="0.3">
      <c r="A9" s="155"/>
      <c r="B9" s="156" t="s">
        <v>139</v>
      </c>
      <c r="C9" s="157" t="s">
        <v>140</v>
      </c>
      <c r="D9" s="157" t="s">
        <v>141</v>
      </c>
      <c r="E9" s="158"/>
      <c r="F9" s="159"/>
      <c r="G9" s="160"/>
      <c r="H9" s="157" t="s">
        <v>142</v>
      </c>
      <c r="I9" s="157" t="s">
        <v>143</v>
      </c>
      <c r="J9" s="161"/>
      <c r="K9" s="161" t="s">
        <v>144</v>
      </c>
      <c r="L9" s="146"/>
    </row>
    <row r="10" spans="1:12" x14ac:dyDescent="0.3">
      <c r="A10" s="155"/>
      <c r="B10" s="156" t="s">
        <v>145</v>
      </c>
      <c r="C10" s="157" t="s">
        <v>146</v>
      </c>
      <c r="D10" s="157" t="s">
        <v>147</v>
      </c>
      <c r="E10" s="162"/>
      <c r="F10" s="163"/>
      <c r="G10" s="164"/>
      <c r="H10" s="157" t="s">
        <v>148</v>
      </c>
      <c r="I10" s="157" t="s">
        <v>149</v>
      </c>
      <c r="J10" s="161" t="s">
        <v>150</v>
      </c>
      <c r="K10" s="165">
        <v>44926</v>
      </c>
      <c r="L10" s="146"/>
    </row>
    <row r="11" spans="1:12" x14ac:dyDescent="0.3">
      <c r="A11" s="155"/>
      <c r="B11" s="156"/>
      <c r="C11" s="157" t="s">
        <v>145</v>
      </c>
      <c r="D11" s="157"/>
      <c r="E11" s="157" t="s">
        <v>151</v>
      </c>
      <c r="F11" s="157" t="s">
        <v>152</v>
      </c>
      <c r="G11" s="157" t="s">
        <v>150</v>
      </c>
      <c r="H11" s="157"/>
      <c r="I11" s="157"/>
      <c r="J11" s="161"/>
      <c r="K11" s="161"/>
      <c r="L11" s="146"/>
    </row>
    <row r="12" spans="1:12" ht="17.25" thickBot="1" x14ac:dyDescent="0.35">
      <c r="A12" s="166"/>
      <c r="B12" s="167" t="s">
        <v>153</v>
      </c>
      <c r="C12" s="168" t="s">
        <v>154</v>
      </c>
      <c r="D12" s="168" t="s">
        <v>155</v>
      </c>
      <c r="E12" s="169" t="s">
        <v>156</v>
      </c>
      <c r="F12" s="169" t="s">
        <v>157</v>
      </c>
      <c r="G12" s="168" t="s">
        <v>158</v>
      </c>
      <c r="H12" s="169" t="s">
        <v>159</v>
      </c>
      <c r="I12" s="168" t="s">
        <v>160</v>
      </c>
      <c r="J12" s="170" t="s">
        <v>161</v>
      </c>
      <c r="K12" s="170"/>
      <c r="L12" s="146"/>
    </row>
    <row r="13" spans="1:12" ht="22.5" customHeight="1" thickTop="1" x14ac:dyDescent="0.3">
      <c r="A13" s="171" t="s">
        <v>162</v>
      </c>
      <c r="B13" s="175"/>
      <c r="C13" s="172"/>
      <c r="D13" s="172"/>
      <c r="E13" s="172"/>
      <c r="F13" s="172"/>
      <c r="G13" s="172"/>
      <c r="H13" s="172"/>
      <c r="I13" s="172"/>
      <c r="J13" s="172"/>
      <c r="K13" s="173"/>
      <c r="L13" s="147"/>
    </row>
    <row r="14" spans="1:12" ht="34.5" customHeight="1" x14ac:dyDescent="0.3">
      <c r="A14" s="174" t="s">
        <v>163</v>
      </c>
      <c r="B14" s="175"/>
      <c r="C14" s="175"/>
      <c r="D14" s="175"/>
      <c r="E14" s="201">
        <v>-5367763.6099999994</v>
      </c>
      <c r="F14" s="175"/>
      <c r="G14" s="191">
        <f>E14+F14</f>
        <v>-5367763.6099999994</v>
      </c>
      <c r="H14" s="193">
        <f>G14+D14+C14+B14</f>
        <v>-5367763.6099999994</v>
      </c>
      <c r="I14" s="191"/>
      <c r="J14" s="191">
        <f>I14+H14</f>
        <v>-5367763.6099999994</v>
      </c>
      <c r="K14" s="194">
        <f>J14</f>
        <v>-5367763.6099999994</v>
      </c>
      <c r="L14" s="148"/>
    </row>
    <row r="15" spans="1:12" ht="35.25" customHeight="1" x14ac:dyDescent="0.3">
      <c r="A15" s="174" t="s">
        <v>164</v>
      </c>
      <c r="B15" s="175"/>
      <c r="C15" s="175"/>
      <c r="D15" s="175"/>
      <c r="E15" s="197">
        <v>1</v>
      </c>
      <c r="F15" s="197">
        <v>1</v>
      </c>
      <c r="G15" s="328">
        <v>1</v>
      </c>
      <c r="H15" s="197">
        <v>1</v>
      </c>
      <c r="I15" s="191">
        <v>1</v>
      </c>
      <c r="J15" s="197">
        <v>1</v>
      </c>
      <c r="K15" s="194">
        <v>1</v>
      </c>
      <c r="L15" s="148"/>
    </row>
    <row r="16" spans="1:12" ht="35.25" customHeight="1" x14ac:dyDescent="0.3">
      <c r="A16" s="195" t="s">
        <v>165</v>
      </c>
      <c r="B16" s="329">
        <f>SUM(B14:B15)</f>
        <v>0</v>
      </c>
      <c r="C16" s="330">
        <f>SUM(C14:C15)</f>
        <v>0</v>
      </c>
      <c r="D16" s="329">
        <f>SUM(D14:D15)</f>
        <v>0</v>
      </c>
      <c r="E16" s="330">
        <f>E14*E15</f>
        <v>-5367763.6099999994</v>
      </c>
      <c r="F16" s="329">
        <f>F14*F15</f>
        <v>0</v>
      </c>
      <c r="G16" s="330">
        <f>SUM(E16:F16)</f>
        <v>-5367763.6099999994</v>
      </c>
      <c r="H16" s="329">
        <f>+G16+D16+C16+B16</f>
        <v>-5367763.6099999994</v>
      </c>
      <c r="I16" s="330">
        <f>I14*I15</f>
        <v>0</v>
      </c>
      <c r="J16" s="329">
        <f>+I16+H16</f>
        <v>-5367763.6099999994</v>
      </c>
      <c r="K16" s="194">
        <f>+J16</f>
        <v>-5367763.6099999994</v>
      </c>
      <c r="L16" s="148"/>
    </row>
    <row r="17" spans="1:12" ht="35.25" customHeight="1" x14ac:dyDescent="0.3">
      <c r="A17" s="187" t="s">
        <v>166</v>
      </c>
      <c r="B17" s="191"/>
      <c r="C17" s="193"/>
      <c r="D17" s="191"/>
      <c r="E17" s="193"/>
      <c r="F17" s="331">
        <f>BALANCE!K7</f>
        <v>63922800.710000038</v>
      </c>
      <c r="G17" s="333">
        <f>SUM(E17:F17)</f>
        <v>63922800.710000038</v>
      </c>
      <c r="H17" s="334">
        <f>+G17+D17+C17+B17</f>
        <v>63922800.710000038</v>
      </c>
      <c r="I17" s="193"/>
      <c r="J17" s="191">
        <f>+I17+H17</f>
        <v>63922800.710000038</v>
      </c>
      <c r="K17" s="194">
        <f t="shared" ref="K17:K18" si="0">+J17</f>
        <v>63922800.710000038</v>
      </c>
      <c r="L17" s="148"/>
    </row>
    <row r="18" spans="1:12" ht="35.25" customHeight="1" x14ac:dyDescent="0.3">
      <c r="A18" s="174" t="s">
        <v>167</v>
      </c>
      <c r="B18" s="189"/>
      <c r="C18" s="189"/>
      <c r="D18" s="189"/>
      <c r="E18" s="336"/>
      <c r="F18" s="332">
        <f>-7191026.44-2991775-9984096</f>
        <v>-20166897.440000001</v>
      </c>
      <c r="G18" s="337">
        <f>SUM(F18:F18)</f>
        <v>-20166897.440000001</v>
      </c>
      <c r="H18" s="332">
        <f>+G18+D18+C18+B18</f>
        <v>-20166897.440000001</v>
      </c>
      <c r="I18" s="189"/>
      <c r="J18" s="191">
        <f>+I18+H18</f>
        <v>-20166897.440000001</v>
      </c>
      <c r="K18" s="194">
        <f t="shared" si="0"/>
        <v>-20166897.440000001</v>
      </c>
      <c r="L18" s="148"/>
    </row>
    <row r="19" spans="1:12" ht="35.25" customHeight="1" x14ac:dyDescent="0.3">
      <c r="A19" s="186" t="s">
        <v>168</v>
      </c>
      <c r="B19" s="340">
        <f>SUM(B16:B17)</f>
        <v>0</v>
      </c>
      <c r="C19" s="340">
        <f t="shared" ref="C19:I19" si="1">SUM(C16:C17)</f>
        <v>0</v>
      </c>
      <c r="D19" s="340">
        <f t="shared" si="1"/>
        <v>0</v>
      </c>
      <c r="E19" s="340">
        <f t="shared" si="1"/>
        <v>-5367763.6099999994</v>
      </c>
      <c r="F19" s="340">
        <f>SUM(F16:F18)</f>
        <v>43755903.270000041</v>
      </c>
      <c r="G19" s="340">
        <f>SUM(G16:G18)</f>
        <v>38388139.660000041</v>
      </c>
      <c r="H19" s="340">
        <f>+G19+D19+C19+B19</f>
        <v>38388139.660000041</v>
      </c>
      <c r="I19" s="340">
        <f t="shared" si="1"/>
        <v>0</v>
      </c>
      <c r="J19" s="340">
        <f>+I19+H19</f>
        <v>38388139.660000041</v>
      </c>
      <c r="K19" s="341">
        <f>+J19</f>
        <v>38388139.660000041</v>
      </c>
      <c r="L19" s="148"/>
    </row>
    <row r="20" spans="1:12" ht="35.25" customHeight="1" x14ac:dyDescent="0.3">
      <c r="A20" s="195" t="s">
        <v>169</v>
      </c>
      <c r="B20" s="190">
        <f>SUM(B21:B22)</f>
        <v>0</v>
      </c>
      <c r="C20" s="190">
        <f t="shared" ref="C20:J20" si="2">SUM(C21:C22)</f>
        <v>0</v>
      </c>
      <c r="D20" s="335">
        <f t="shared" si="2"/>
        <v>577219167.77999997</v>
      </c>
      <c r="E20" s="190">
        <f t="shared" si="2"/>
        <v>0</v>
      </c>
      <c r="F20" s="190">
        <f t="shared" si="2"/>
        <v>0</v>
      </c>
      <c r="G20" s="190">
        <f t="shared" si="2"/>
        <v>0</v>
      </c>
      <c r="H20" s="190">
        <f t="shared" si="2"/>
        <v>0</v>
      </c>
      <c r="I20" s="190">
        <f t="shared" si="2"/>
        <v>0</v>
      </c>
      <c r="J20" s="190">
        <f t="shared" si="2"/>
        <v>0</v>
      </c>
      <c r="K20" s="194">
        <f>SUM(B20:J20)</f>
        <v>577219167.77999997</v>
      </c>
      <c r="L20" s="148"/>
    </row>
    <row r="21" spans="1:12" ht="35.25" customHeight="1" x14ac:dyDescent="0.3">
      <c r="A21" s="200" t="s">
        <v>97</v>
      </c>
      <c r="B21" s="175"/>
      <c r="C21" s="176"/>
      <c r="D21" s="192">
        <f>SUMIFS(Tabla3[INGRESOS],Tabla3[CREDITO],EPN!A21)</f>
        <v>9945494.7300000004</v>
      </c>
      <c r="E21" s="176"/>
      <c r="F21" s="177"/>
      <c r="G21" s="176"/>
      <c r="H21" s="176"/>
      <c r="I21" s="176"/>
      <c r="J21" s="177"/>
      <c r="K21" s="178"/>
      <c r="L21" s="148"/>
    </row>
    <row r="22" spans="1:12" ht="35.25" customHeight="1" x14ac:dyDescent="0.3">
      <c r="A22" s="200" t="s">
        <v>96</v>
      </c>
      <c r="B22" s="175"/>
      <c r="C22" s="176"/>
      <c r="D22" s="192">
        <f>SUMIFS(Tabla3[INGRESOS],Tabla3[CREDITO],EPN!A22)</f>
        <v>567273673.04999995</v>
      </c>
      <c r="E22" s="176"/>
      <c r="F22" s="177"/>
      <c r="G22" s="176"/>
      <c r="H22" s="176"/>
      <c r="I22" s="176"/>
      <c r="J22" s="177"/>
      <c r="K22" s="194"/>
      <c r="L22" s="148"/>
    </row>
    <row r="23" spans="1:12" ht="35.25" customHeight="1" x14ac:dyDescent="0.3">
      <c r="A23" s="195" t="s">
        <v>170</v>
      </c>
      <c r="B23" s="190">
        <f t="shared" ref="B23:C23" si="3">-SUM(B24:B28)</f>
        <v>0</v>
      </c>
      <c r="C23" s="190">
        <f t="shared" si="3"/>
        <v>0</v>
      </c>
      <c r="D23" s="335">
        <f>-SUM(D24:D28)</f>
        <v>-278469526.51000011</v>
      </c>
      <c r="E23" s="190">
        <f t="shared" ref="E23:J23" si="4">-SUM(E24:E28)</f>
        <v>0</v>
      </c>
      <c r="F23" s="190">
        <f t="shared" si="4"/>
        <v>0</v>
      </c>
      <c r="G23" s="190">
        <f>-SUM(G24:G28)</f>
        <v>0</v>
      </c>
      <c r="H23" s="190">
        <f t="shared" si="4"/>
        <v>0</v>
      </c>
      <c r="I23" s="190">
        <f t="shared" si="4"/>
        <v>0</v>
      </c>
      <c r="J23" s="190">
        <f t="shared" si="4"/>
        <v>0</v>
      </c>
      <c r="K23" s="194">
        <f>SUM(B23:J23)</f>
        <v>-278469526.51000011</v>
      </c>
      <c r="L23" s="148"/>
    </row>
    <row r="24" spans="1:12" ht="35.25" customHeight="1" x14ac:dyDescent="0.3">
      <c r="A24" s="200" t="s">
        <v>99</v>
      </c>
      <c r="B24" s="175"/>
      <c r="C24" s="176"/>
      <c r="D24" s="192">
        <f>SUMIFS(Tabla3[EGRESOS],Tabla3[DEBITO],EPN!A24)</f>
        <v>0</v>
      </c>
      <c r="E24" s="176"/>
      <c r="F24" s="177"/>
      <c r="G24" s="176"/>
      <c r="H24" s="176"/>
      <c r="I24" s="176"/>
      <c r="J24" s="177"/>
      <c r="K24" s="194"/>
      <c r="L24" s="148"/>
    </row>
    <row r="25" spans="1:12" ht="35.25" customHeight="1" x14ac:dyDescent="0.3">
      <c r="A25" s="200" t="s">
        <v>101</v>
      </c>
      <c r="B25" s="175"/>
      <c r="C25" s="176"/>
      <c r="D25" s="192">
        <f>SUMIFS(Tabla3[EGRESOS],Tabla3[DEBITO],EPN!A25)</f>
        <v>8820000</v>
      </c>
      <c r="E25" s="176"/>
      <c r="F25" s="177"/>
      <c r="G25" s="176"/>
      <c r="H25" s="176"/>
      <c r="I25" s="176"/>
      <c r="J25" s="177"/>
      <c r="K25" s="194"/>
      <c r="L25" s="148"/>
    </row>
    <row r="26" spans="1:12" ht="35.25" customHeight="1" x14ac:dyDescent="0.3">
      <c r="A26" s="200" t="s">
        <v>103</v>
      </c>
      <c r="B26" s="175"/>
      <c r="C26" s="176"/>
      <c r="D26" s="192">
        <f>SUMIFS(Tabla3[EGRESOS],Tabla3[DEBITO],EPN!A26)</f>
        <v>23326015.350000001</v>
      </c>
      <c r="E26" s="176"/>
      <c r="F26" s="177"/>
      <c r="G26" s="176"/>
      <c r="H26" s="176"/>
      <c r="I26" s="176"/>
      <c r="J26" s="177"/>
      <c r="K26" s="194"/>
      <c r="L26" s="148"/>
    </row>
    <row r="27" spans="1:12" ht="35.25" customHeight="1" x14ac:dyDescent="0.3">
      <c r="A27" s="200" t="s">
        <v>102</v>
      </c>
      <c r="B27" s="175"/>
      <c r="C27" s="176"/>
      <c r="D27" s="192">
        <f>SUMIFS(Tabla3[EGRESOS],Tabla3[DEBITO],EPN!A27)</f>
        <v>4000000</v>
      </c>
      <c r="E27" s="176"/>
      <c r="F27" s="177"/>
      <c r="G27" s="176"/>
      <c r="H27" s="176"/>
      <c r="I27" s="176"/>
      <c r="J27" s="177"/>
      <c r="K27" s="194"/>
      <c r="L27" s="148"/>
    </row>
    <row r="28" spans="1:12" ht="35.25" customHeight="1" x14ac:dyDescent="0.3">
      <c r="A28" s="200" t="s">
        <v>98</v>
      </c>
      <c r="B28" s="175"/>
      <c r="C28" s="176"/>
      <c r="D28" s="192">
        <f>SUMIFS(Tabla3[EGRESOS],Tabla3[DEBITO],EPN!A28)</f>
        <v>242323511.16000012</v>
      </c>
      <c r="E28" s="176"/>
      <c r="F28" s="177"/>
      <c r="G28" s="176"/>
      <c r="H28" s="176"/>
      <c r="I28" s="176"/>
      <c r="J28" s="177"/>
      <c r="K28" s="194"/>
      <c r="L28" s="148"/>
    </row>
    <row r="29" spans="1:12" ht="35.25" customHeight="1" thickBot="1" x14ac:dyDescent="0.35">
      <c r="A29" s="196" t="s">
        <v>171</v>
      </c>
      <c r="B29" s="198">
        <f t="shared" ref="B29:C29" si="5">+B20+B23</f>
        <v>0</v>
      </c>
      <c r="C29" s="198">
        <f t="shared" si="5"/>
        <v>0</v>
      </c>
      <c r="D29" s="198">
        <f>+D20+D23</f>
        <v>298749641.26999986</v>
      </c>
      <c r="E29" s="198">
        <f t="shared" ref="E29:J29" si="6">+E20+E23</f>
        <v>0</v>
      </c>
      <c r="F29" s="198">
        <f t="shared" si="6"/>
        <v>0</v>
      </c>
      <c r="G29" s="198">
        <f>+G20+G23</f>
        <v>0</v>
      </c>
      <c r="H29" s="198">
        <f t="shared" si="6"/>
        <v>0</v>
      </c>
      <c r="I29" s="198">
        <f t="shared" si="6"/>
        <v>0</v>
      </c>
      <c r="J29" s="198">
        <f t="shared" si="6"/>
        <v>0</v>
      </c>
      <c r="K29" s="202">
        <f>+K20+K23</f>
        <v>298749641.26999986</v>
      </c>
      <c r="L29" s="148"/>
    </row>
    <row r="30" spans="1:12" ht="35.25" customHeight="1" thickTop="1" thickBot="1" x14ac:dyDescent="0.35">
      <c r="A30" s="200" t="s">
        <v>172</v>
      </c>
      <c r="B30" s="199"/>
      <c r="C30" s="199"/>
      <c r="D30" s="199">
        <v>-5382213.6900000013</v>
      </c>
      <c r="E30" s="199"/>
      <c r="F30" s="199"/>
      <c r="G30" s="199"/>
      <c r="H30" s="199"/>
      <c r="I30" s="199"/>
      <c r="J30" s="199"/>
      <c r="K30" s="202">
        <f>SUM(B30:J30)</f>
        <v>-5382213.6900000013</v>
      </c>
      <c r="L30" s="148"/>
    </row>
    <row r="31" spans="1:12" ht="35.25" customHeight="1" thickTop="1" thickBot="1" x14ac:dyDescent="0.35">
      <c r="A31" s="188" t="s">
        <v>173</v>
      </c>
      <c r="B31" s="199">
        <f>+B19+B29</f>
        <v>0</v>
      </c>
      <c r="C31" s="199">
        <f t="shared" ref="C31" si="7">+C19+C29</f>
        <v>0</v>
      </c>
      <c r="D31" s="199">
        <f>+D19+D29+D30</f>
        <v>293367427.57999986</v>
      </c>
      <c r="E31" s="338">
        <f>+E19+E29+E30</f>
        <v>-5367763.6099999994</v>
      </c>
      <c r="F31" s="338">
        <f>+F19+F29+F30</f>
        <v>43755903.270000041</v>
      </c>
      <c r="G31" s="339">
        <f>+G19+G29+G30</f>
        <v>38388139.660000041</v>
      </c>
      <c r="H31" s="199">
        <f>+G31+D31+C31+B31</f>
        <v>331755567.23999989</v>
      </c>
      <c r="I31" s="199">
        <f>+I19+I29</f>
        <v>0</v>
      </c>
      <c r="J31" s="199">
        <f>+H31+I31</f>
        <v>331755567.23999989</v>
      </c>
      <c r="K31" s="203">
        <f>+J31</f>
        <v>331755567.23999989</v>
      </c>
      <c r="L31" s="147"/>
    </row>
    <row r="32" spans="1:12" ht="17.25" thickTop="1" x14ac:dyDescent="0.3">
      <c r="A32" s="149" t="s">
        <v>174</v>
      </c>
      <c r="B32" s="150"/>
      <c r="C32" s="150"/>
      <c r="D32" s="150"/>
      <c r="E32" s="150"/>
      <c r="F32" s="150"/>
      <c r="G32" s="150"/>
      <c r="H32" s="150"/>
      <c r="I32" s="150"/>
    </row>
    <row r="35" spans="7:12" x14ac:dyDescent="0.3">
      <c r="G35" s="140" t="s">
        <v>175</v>
      </c>
      <c r="H35" s="140">
        <v>5367763.6100000003</v>
      </c>
    </row>
    <row r="37" spans="7:12" x14ac:dyDescent="0.3">
      <c r="G37" s="140" t="s">
        <v>176</v>
      </c>
      <c r="H37" s="140">
        <f>H31+H35</f>
        <v>337123330.8499999</v>
      </c>
    </row>
    <row r="38" spans="7:12" x14ac:dyDescent="0.3">
      <c r="K38" s="144"/>
      <c r="L38" s="144"/>
    </row>
  </sheetData>
  <sheetProtection sheet="1" objects="1" scenarios="1"/>
  <mergeCells count="5">
    <mergeCell ref="A2:K2"/>
    <mergeCell ref="A3:K3"/>
    <mergeCell ref="A4:K4"/>
    <mergeCell ref="A5:K5"/>
    <mergeCell ref="E8:G8"/>
  </mergeCells>
  <printOptions horizontalCentered="1"/>
  <pageMargins left="0.25" right="0.25" top="0.75" bottom="0.75" header="0.3" footer="0.3"/>
  <pageSetup paperSize="9" scale="62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D1B06-8AED-4CDF-86B5-E95138B5996A}">
  <sheetPr codeName="Hoja3">
    <tabColor theme="0" tint="-0.14999847407452621"/>
  </sheetPr>
  <dimension ref="A1:M277"/>
  <sheetViews>
    <sheetView topLeftCell="A91" zoomScaleNormal="100" workbookViewId="0">
      <selection activeCell="H100" sqref="H100"/>
    </sheetView>
  </sheetViews>
  <sheetFormatPr baseColWidth="10" defaultColWidth="11.42578125" defaultRowHeight="15" x14ac:dyDescent="0.25"/>
  <cols>
    <col min="1" max="1" width="1.42578125" customWidth="1"/>
    <col min="2" max="2" width="40.42578125" bestFit="1" customWidth="1"/>
    <col min="3" max="3" width="17.140625" bestFit="1" customWidth="1"/>
    <col min="4" max="4" width="18" bestFit="1" customWidth="1"/>
    <col min="5" max="5" width="18.85546875" bestFit="1" customWidth="1"/>
    <col min="6" max="6" width="19.85546875" bestFit="1" customWidth="1"/>
    <col min="7" max="7" width="3.5703125" customWidth="1"/>
    <col min="8" max="9" width="16.7109375" customWidth="1"/>
    <col min="10" max="10" width="13" bestFit="1" customWidth="1"/>
  </cols>
  <sheetData>
    <row r="1" spans="1:13" ht="18.75" x14ac:dyDescent="0.3">
      <c r="A1" s="7"/>
      <c r="B1" s="204" t="s">
        <v>177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x14ac:dyDescent="0.25">
      <c r="A2" s="7"/>
      <c r="B2" s="293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x14ac:dyDescent="0.25">
      <c r="A3" s="7"/>
      <c r="B3" s="208" t="s">
        <v>178</v>
      </c>
      <c r="C3" s="208" t="s">
        <v>179</v>
      </c>
      <c r="D3" s="269" t="s">
        <v>180</v>
      </c>
      <c r="E3" s="209" t="s">
        <v>181</v>
      </c>
      <c r="F3" s="222" t="s">
        <v>182</v>
      </c>
      <c r="G3" s="7"/>
      <c r="H3" s="7"/>
      <c r="I3" s="7"/>
      <c r="J3" s="7"/>
      <c r="K3" s="7"/>
      <c r="L3" s="7"/>
      <c r="M3" s="7"/>
    </row>
    <row r="4" spans="1:13" x14ac:dyDescent="0.25">
      <c r="A4" s="7"/>
      <c r="B4" s="393" t="s">
        <v>184</v>
      </c>
      <c r="C4" s="394">
        <v>105701527.16</v>
      </c>
      <c r="D4" s="395">
        <v>25098140.73</v>
      </c>
      <c r="E4" s="396">
        <v>91173.803273466503</v>
      </c>
      <c r="F4" s="397">
        <v>21897.471809367293</v>
      </c>
      <c r="G4" s="7"/>
      <c r="H4" s="7"/>
      <c r="I4" s="7"/>
      <c r="J4" s="7"/>
      <c r="K4" s="7"/>
      <c r="L4" s="7"/>
      <c r="M4" s="7"/>
    </row>
    <row r="5" spans="1:13" x14ac:dyDescent="0.25">
      <c r="A5" s="7"/>
      <c r="B5" s="386" t="s">
        <v>185</v>
      </c>
      <c r="C5" s="216">
        <v>2343223.2999999998</v>
      </c>
      <c r="D5" s="217">
        <v>3</v>
      </c>
      <c r="E5" s="223">
        <v>2031.2384995809289</v>
      </c>
      <c r="F5" s="224">
        <v>2.5641025641025641E-3</v>
      </c>
      <c r="G5" s="7"/>
      <c r="H5" s="7"/>
      <c r="I5" s="7"/>
      <c r="J5" s="7"/>
      <c r="K5" s="7"/>
      <c r="L5" s="7"/>
      <c r="M5" s="7"/>
    </row>
    <row r="6" spans="1:13" x14ac:dyDescent="0.25">
      <c r="A6" s="7"/>
      <c r="B6" s="255" t="s">
        <v>186</v>
      </c>
      <c r="C6" s="216">
        <v>1825085.2999999998</v>
      </c>
      <c r="D6" s="217">
        <v>3</v>
      </c>
      <c r="E6" s="223">
        <v>1579.7112616142174</v>
      </c>
      <c r="F6" s="224">
        <v>2.5641025641025641E-3</v>
      </c>
      <c r="G6" s="7"/>
      <c r="H6" s="7"/>
      <c r="I6" s="7"/>
      <c r="J6" s="7"/>
      <c r="K6" s="7"/>
      <c r="L6" s="7"/>
      <c r="M6" s="7"/>
    </row>
    <row r="7" spans="1:13" x14ac:dyDescent="0.25">
      <c r="A7" s="7"/>
      <c r="B7" s="255" t="s">
        <v>226</v>
      </c>
      <c r="C7" s="216">
        <v>381312</v>
      </c>
      <c r="D7" s="217">
        <v>0</v>
      </c>
      <c r="E7" s="223">
        <v>334.48421052631579</v>
      </c>
      <c r="F7" s="224">
        <v>0</v>
      </c>
      <c r="G7" s="7"/>
      <c r="H7" s="7"/>
      <c r="I7" s="7"/>
      <c r="J7" s="7"/>
      <c r="K7" s="7"/>
      <c r="L7" s="7"/>
      <c r="M7" s="7"/>
    </row>
    <row r="8" spans="1:13" x14ac:dyDescent="0.25">
      <c r="A8" s="7"/>
      <c r="B8" s="255" t="s">
        <v>227</v>
      </c>
      <c r="C8" s="216">
        <v>124826</v>
      </c>
      <c r="D8" s="217">
        <v>0</v>
      </c>
      <c r="E8" s="223">
        <v>106.78661718398561</v>
      </c>
      <c r="F8" s="224">
        <v>0</v>
      </c>
      <c r="G8" s="7"/>
      <c r="H8" s="7"/>
      <c r="I8" s="7"/>
      <c r="J8" s="7"/>
      <c r="K8" s="7"/>
      <c r="L8" s="7"/>
      <c r="M8" s="7"/>
    </row>
    <row r="9" spans="1:13" x14ac:dyDescent="0.25">
      <c r="A9" s="7"/>
      <c r="B9" s="255" t="s">
        <v>1051</v>
      </c>
      <c r="C9" s="216">
        <v>12000</v>
      </c>
      <c r="D9" s="217">
        <v>0</v>
      </c>
      <c r="E9" s="223">
        <v>10.256410256410257</v>
      </c>
      <c r="F9" s="224">
        <v>0</v>
      </c>
      <c r="G9" s="7"/>
      <c r="H9" s="7"/>
      <c r="I9" s="7"/>
      <c r="J9" s="7"/>
      <c r="K9" s="7"/>
      <c r="L9" s="7"/>
      <c r="M9" s="7"/>
    </row>
    <row r="10" spans="1:13" x14ac:dyDescent="0.25">
      <c r="A10" s="7"/>
      <c r="B10" s="386" t="s">
        <v>187</v>
      </c>
      <c r="C10" s="216">
        <v>15390443.939999999</v>
      </c>
      <c r="D10" s="217">
        <v>4</v>
      </c>
      <c r="E10" s="223">
        <v>13226.055041875501</v>
      </c>
      <c r="F10" s="224">
        <v>3.4188034188034188E-3</v>
      </c>
      <c r="G10" s="7"/>
      <c r="H10" s="7"/>
      <c r="I10" s="7"/>
      <c r="J10" s="7"/>
      <c r="K10" s="7"/>
      <c r="L10" s="7"/>
      <c r="M10" s="7"/>
    </row>
    <row r="11" spans="1:13" x14ac:dyDescent="0.25">
      <c r="A11" s="7"/>
      <c r="B11" s="255" t="s">
        <v>188</v>
      </c>
      <c r="C11" s="216">
        <v>15390443.939999999</v>
      </c>
      <c r="D11" s="217">
        <v>4</v>
      </c>
      <c r="E11" s="223">
        <v>13226.055041875501</v>
      </c>
      <c r="F11" s="224">
        <v>3.4188034188034188E-3</v>
      </c>
      <c r="G11" s="7"/>
      <c r="H11" s="7"/>
      <c r="I11" s="7"/>
      <c r="J11" s="7"/>
      <c r="K11" s="7"/>
      <c r="L11" s="7"/>
      <c r="M11" s="7"/>
    </row>
    <row r="12" spans="1:13" x14ac:dyDescent="0.25">
      <c r="A12" s="7"/>
      <c r="B12" s="386" t="s">
        <v>189</v>
      </c>
      <c r="C12" s="216">
        <v>5710507.3400000017</v>
      </c>
      <c r="D12" s="217">
        <v>0</v>
      </c>
      <c r="E12" s="223">
        <v>4959.069324098723</v>
      </c>
      <c r="F12" s="224">
        <v>0</v>
      </c>
      <c r="G12" s="7"/>
      <c r="H12" s="7"/>
      <c r="I12" s="7"/>
      <c r="J12" s="7"/>
      <c r="K12" s="7"/>
      <c r="L12" s="7"/>
      <c r="M12" s="7"/>
    </row>
    <row r="13" spans="1:13" x14ac:dyDescent="0.25">
      <c r="A13" s="7"/>
      <c r="B13" s="255" t="s">
        <v>190</v>
      </c>
      <c r="C13" s="216">
        <v>5710507.3400000017</v>
      </c>
      <c r="D13" s="217">
        <v>0</v>
      </c>
      <c r="E13" s="223">
        <v>4959.069324098723</v>
      </c>
      <c r="F13" s="224">
        <v>0</v>
      </c>
      <c r="G13" s="7"/>
      <c r="H13" s="7"/>
      <c r="I13" s="7"/>
      <c r="J13" s="7"/>
      <c r="K13" s="7"/>
      <c r="L13" s="7"/>
      <c r="M13" s="7"/>
    </row>
    <row r="14" spans="1:13" x14ac:dyDescent="0.25">
      <c r="A14" s="7"/>
      <c r="B14" s="386" t="s">
        <v>191</v>
      </c>
      <c r="C14" s="216">
        <v>22785490.099999998</v>
      </c>
      <c r="D14" s="217">
        <v>0</v>
      </c>
      <c r="E14" s="223">
        <v>19789.577341467801</v>
      </c>
      <c r="F14" s="224">
        <v>0</v>
      </c>
      <c r="G14" s="7"/>
      <c r="H14" s="7"/>
      <c r="I14" s="7"/>
      <c r="J14" s="7"/>
      <c r="K14" s="7"/>
      <c r="L14" s="7"/>
      <c r="M14" s="7"/>
    </row>
    <row r="15" spans="1:13" x14ac:dyDescent="0.25">
      <c r="A15" s="7"/>
      <c r="B15" s="255" t="s">
        <v>192</v>
      </c>
      <c r="C15" s="216">
        <v>3310113</v>
      </c>
      <c r="D15" s="217">
        <v>0</v>
      </c>
      <c r="E15" s="223">
        <v>2869.4425416860408</v>
      </c>
      <c r="F15" s="224">
        <v>0</v>
      </c>
      <c r="G15" s="7"/>
      <c r="H15" s="7"/>
      <c r="I15" s="7"/>
      <c r="J15" s="7"/>
      <c r="K15" s="7"/>
      <c r="L15" s="7"/>
      <c r="M15" s="7"/>
    </row>
    <row r="16" spans="1:13" x14ac:dyDescent="0.25">
      <c r="A16" s="7"/>
      <c r="B16" s="255" t="s">
        <v>223</v>
      </c>
      <c r="C16" s="216">
        <v>3100</v>
      </c>
      <c r="D16" s="217">
        <v>0</v>
      </c>
      <c r="E16" s="223">
        <v>2.7192982456140351</v>
      </c>
      <c r="F16" s="224">
        <v>0</v>
      </c>
      <c r="G16" s="7"/>
      <c r="H16" s="7"/>
      <c r="I16" s="7"/>
      <c r="J16" s="7"/>
      <c r="K16" s="7"/>
      <c r="L16" s="7"/>
      <c r="M16" s="7"/>
    </row>
    <row r="17" spans="1:13" x14ac:dyDescent="0.25">
      <c r="A17" s="7"/>
      <c r="B17" s="255" t="s">
        <v>193</v>
      </c>
      <c r="C17" s="216">
        <v>19472277.099999998</v>
      </c>
      <c r="D17" s="217">
        <v>0</v>
      </c>
      <c r="E17" s="223">
        <v>16917.415501536147</v>
      </c>
      <c r="F17" s="224">
        <v>0</v>
      </c>
      <c r="G17" s="7"/>
      <c r="H17" s="7"/>
      <c r="I17" s="7"/>
      <c r="J17" s="7"/>
      <c r="K17" s="7"/>
      <c r="L17" s="7"/>
      <c r="M17" s="7"/>
    </row>
    <row r="18" spans="1:13" x14ac:dyDescent="0.25">
      <c r="A18" s="7"/>
      <c r="B18" s="386" t="s">
        <v>194</v>
      </c>
      <c r="C18" s="216">
        <v>36851050.920000002</v>
      </c>
      <c r="D18" s="217">
        <v>9945496.7300000004</v>
      </c>
      <c r="E18" s="223">
        <v>31756.743766981555</v>
      </c>
      <c r="F18" s="224">
        <v>8684.9949559154284</v>
      </c>
      <c r="G18" s="7"/>
      <c r="H18" s="7"/>
      <c r="I18" s="7"/>
      <c r="J18" s="7"/>
      <c r="K18" s="7"/>
      <c r="L18" s="7"/>
      <c r="M18" s="7"/>
    </row>
    <row r="19" spans="1:13" x14ac:dyDescent="0.25">
      <c r="A19" s="7"/>
      <c r="B19" s="255" t="s">
        <v>236</v>
      </c>
      <c r="C19" s="216">
        <v>0</v>
      </c>
      <c r="D19" s="217">
        <v>9945494.7300000004</v>
      </c>
      <c r="E19" s="223">
        <v>0</v>
      </c>
      <c r="F19" s="224">
        <v>8684.993246513719</v>
      </c>
      <c r="G19" s="7"/>
      <c r="H19" s="7"/>
      <c r="I19" s="7"/>
      <c r="J19" s="7"/>
      <c r="K19" s="7"/>
      <c r="L19" s="7"/>
      <c r="M19" s="7"/>
    </row>
    <row r="20" spans="1:13" x14ac:dyDescent="0.25">
      <c r="A20" s="7"/>
      <c r="B20" s="255" t="s">
        <v>248</v>
      </c>
      <c r="C20" s="216">
        <v>226158</v>
      </c>
      <c r="D20" s="217">
        <v>0</v>
      </c>
      <c r="E20" s="223">
        <v>193.29743589743589</v>
      </c>
      <c r="F20" s="224">
        <v>0</v>
      </c>
      <c r="G20" s="7"/>
      <c r="H20" s="7"/>
      <c r="I20" s="7"/>
      <c r="J20" s="7"/>
      <c r="K20" s="7"/>
      <c r="L20" s="7"/>
      <c r="M20" s="7"/>
    </row>
    <row r="21" spans="1:13" x14ac:dyDescent="0.25">
      <c r="A21" s="7"/>
      <c r="B21" s="255" t="s">
        <v>195</v>
      </c>
      <c r="C21" s="216">
        <v>4728000</v>
      </c>
      <c r="D21" s="217">
        <v>0</v>
      </c>
      <c r="E21" s="223">
        <v>4077.867746288799</v>
      </c>
      <c r="F21" s="224">
        <v>0</v>
      </c>
      <c r="G21" s="7"/>
      <c r="H21" s="7"/>
      <c r="I21" s="7"/>
      <c r="J21" s="7"/>
      <c r="K21" s="7"/>
      <c r="L21" s="7"/>
      <c r="M21" s="7"/>
    </row>
    <row r="22" spans="1:13" x14ac:dyDescent="0.25">
      <c r="A22" s="7"/>
      <c r="B22" s="255" t="s">
        <v>196</v>
      </c>
      <c r="C22" s="216">
        <v>31396892.920000002</v>
      </c>
      <c r="D22" s="217">
        <v>2</v>
      </c>
      <c r="E22" s="223">
        <v>27058.228157444893</v>
      </c>
      <c r="F22" s="224">
        <v>1.7094017094017094E-3</v>
      </c>
      <c r="G22" s="7"/>
      <c r="H22" s="7"/>
      <c r="I22" s="7"/>
      <c r="J22" s="7"/>
      <c r="K22" s="7"/>
      <c r="L22" s="7"/>
      <c r="M22" s="7"/>
    </row>
    <row r="23" spans="1:13" x14ac:dyDescent="0.25">
      <c r="A23" s="7"/>
      <c r="B23" s="255" t="s">
        <v>965</v>
      </c>
      <c r="C23" s="216">
        <v>500000</v>
      </c>
      <c r="D23" s="217">
        <v>0</v>
      </c>
      <c r="E23" s="223">
        <v>427.35042735042737</v>
      </c>
      <c r="F23" s="224">
        <v>0</v>
      </c>
      <c r="G23" s="7"/>
      <c r="H23" s="7"/>
      <c r="I23" s="7"/>
      <c r="J23" s="7"/>
      <c r="K23" s="7"/>
      <c r="L23" s="7"/>
      <c r="M23" s="7"/>
    </row>
    <row r="24" spans="1:13" x14ac:dyDescent="0.25">
      <c r="A24" s="7"/>
      <c r="B24" s="386" t="s">
        <v>210</v>
      </c>
      <c r="C24" s="216">
        <v>152000</v>
      </c>
      <c r="D24" s="217">
        <v>0</v>
      </c>
      <c r="E24" s="223">
        <v>133.33333333333334</v>
      </c>
      <c r="F24" s="224">
        <v>0</v>
      </c>
      <c r="G24" s="7"/>
      <c r="H24" s="7"/>
      <c r="I24" s="7"/>
      <c r="J24" s="7"/>
      <c r="K24" s="7"/>
      <c r="L24" s="7"/>
      <c r="M24" s="7"/>
    </row>
    <row r="25" spans="1:13" x14ac:dyDescent="0.25">
      <c r="A25" s="7"/>
      <c r="B25" s="255" t="s">
        <v>229</v>
      </c>
      <c r="C25" s="216">
        <v>152000</v>
      </c>
      <c r="D25" s="217">
        <v>0</v>
      </c>
      <c r="E25" s="223">
        <v>133.33333333333334</v>
      </c>
      <c r="F25" s="224">
        <v>0</v>
      </c>
      <c r="G25" s="7"/>
      <c r="H25" s="7"/>
      <c r="I25" s="7"/>
      <c r="J25" s="7"/>
      <c r="K25" s="7"/>
      <c r="L25" s="7"/>
      <c r="M25" s="7"/>
    </row>
    <row r="26" spans="1:13" x14ac:dyDescent="0.25">
      <c r="A26" s="7"/>
      <c r="B26" s="386" t="s">
        <v>237</v>
      </c>
      <c r="C26" s="216">
        <v>18582331</v>
      </c>
      <c r="D26" s="217">
        <v>15152637</v>
      </c>
      <c r="E26" s="223">
        <v>15936.889401126418</v>
      </c>
      <c r="F26" s="224">
        <v>13212.470870545878</v>
      </c>
      <c r="G26" s="7"/>
      <c r="H26" s="7"/>
      <c r="I26" s="7"/>
      <c r="J26" s="7"/>
      <c r="K26" s="7"/>
      <c r="L26" s="7"/>
      <c r="M26" s="7"/>
    </row>
    <row r="27" spans="1:13" x14ac:dyDescent="0.25">
      <c r="A27" s="7"/>
      <c r="B27" s="255" t="s">
        <v>236</v>
      </c>
      <c r="C27" s="216">
        <v>0</v>
      </c>
      <c r="D27" s="217">
        <v>13677234</v>
      </c>
      <c r="E27" s="223">
        <v>0</v>
      </c>
      <c r="F27" s="224">
        <v>11951.442665417673</v>
      </c>
      <c r="G27" s="7"/>
      <c r="H27" s="7"/>
      <c r="I27" s="7"/>
      <c r="J27" s="7"/>
      <c r="K27" s="7"/>
      <c r="L27" s="7"/>
      <c r="M27" s="7"/>
    </row>
    <row r="28" spans="1:13" x14ac:dyDescent="0.25">
      <c r="A28" s="7"/>
      <c r="B28" s="255" t="s">
        <v>248</v>
      </c>
      <c r="C28" s="216">
        <v>13022331</v>
      </c>
      <c r="D28" s="217">
        <v>1125403</v>
      </c>
      <c r="E28" s="223">
        <v>11184.752648989666</v>
      </c>
      <c r="F28" s="224">
        <v>961.88290598290598</v>
      </c>
      <c r="G28" s="7"/>
      <c r="H28" s="7"/>
      <c r="I28" s="7"/>
      <c r="J28" s="7"/>
      <c r="K28" s="7"/>
      <c r="L28" s="7"/>
      <c r="M28" s="7"/>
    </row>
    <row r="29" spans="1:13" x14ac:dyDescent="0.25">
      <c r="A29" s="7"/>
      <c r="B29" s="255" t="s">
        <v>804</v>
      </c>
      <c r="C29" s="216">
        <v>5560000</v>
      </c>
      <c r="D29" s="217">
        <v>0</v>
      </c>
      <c r="E29" s="223">
        <v>4752.136752136752</v>
      </c>
      <c r="F29" s="224">
        <v>0</v>
      </c>
      <c r="G29" s="7"/>
      <c r="H29" s="7"/>
      <c r="I29" s="7"/>
      <c r="J29" s="7"/>
      <c r="K29" s="7"/>
      <c r="L29" s="7"/>
      <c r="M29" s="7"/>
    </row>
    <row r="30" spans="1:13" x14ac:dyDescent="0.25">
      <c r="A30" s="7"/>
      <c r="B30" s="255" t="s">
        <v>886</v>
      </c>
      <c r="C30" s="216">
        <v>0</v>
      </c>
      <c r="D30" s="217">
        <v>350000</v>
      </c>
      <c r="E30" s="223">
        <v>0</v>
      </c>
      <c r="F30" s="224">
        <v>299.14529914529913</v>
      </c>
      <c r="G30" s="7"/>
      <c r="H30" s="7"/>
      <c r="I30" s="7"/>
      <c r="J30" s="7"/>
      <c r="K30" s="7"/>
      <c r="L30" s="7"/>
      <c r="M30" s="7"/>
    </row>
    <row r="31" spans="1:13" x14ac:dyDescent="0.25">
      <c r="A31" s="7"/>
      <c r="B31" s="386" t="s">
        <v>226</v>
      </c>
      <c r="C31" s="216">
        <v>1850000</v>
      </c>
      <c r="D31" s="217">
        <v>0</v>
      </c>
      <c r="E31" s="223">
        <v>1600.314889788574</v>
      </c>
      <c r="F31" s="224">
        <v>0</v>
      </c>
      <c r="G31" s="7"/>
      <c r="H31" s="7"/>
      <c r="I31" s="7"/>
      <c r="J31" s="7"/>
      <c r="K31" s="7"/>
      <c r="L31" s="7"/>
      <c r="M31" s="7"/>
    </row>
    <row r="32" spans="1:13" x14ac:dyDescent="0.25">
      <c r="A32" s="7"/>
      <c r="B32" s="255" t="s">
        <v>1008</v>
      </c>
      <c r="C32" s="216">
        <v>1850000</v>
      </c>
      <c r="D32" s="217">
        <v>0</v>
      </c>
      <c r="E32" s="223">
        <v>1600.314889788574</v>
      </c>
      <c r="F32" s="224">
        <v>0</v>
      </c>
      <c r="G32" s="7"/>
      <c r="H32" s="7"/>
      <c r="I32" s="7"/>
      <c r="J32" s="7"/>
      <c r="K32" s="7"/>
      <c r="L32" s="7"/>
      <c r="M32" s="7"/>
    </row>
    <row r="33" spans="1:13" x14ac:dyDescent="0.25">
      <c r="A33" s="7"/>
      <c r="B33" s="386" t="s">
        <v>1064</v>
      </c>
      <c r="C33" s="216">
        <v>2036480.56</v>
      </c>
      <c r="D33" s="217">
        <v>0</v>
      </c>
      <c r="E33" s="223">
        <v>1740.5816752136752</v>
      </c>
      <c r="F33" s="224">
        <v>0</v>
      </c>
      <c r="G33" s="7"/>
      <c r="H33" s="7"/>
      <c r="I33" s="7"/>
      <c r="J33" s="7"/>
      <c r="K33" s="7"/>
      <c r="L33" s="7"/>
      <c r="M33" s="7"/>
    </row>
    <row r="34" spans="1:13" x14ac:dyDescent="0.25">
      <c r="A34" s="7"/>
      <c r="B34" s="255" t="s">
        <v>1065</v>
      </c>
      <c r="C34" s="216">
        <v>2036480.56</v>
      </c>
      <c r="D34" s="217">
        <v>0</v>
      </c>
      <c r="E34" s="223">
        <v>1740.5816752136752</v>
      </c>
      <c r="F34" s="224">
        <v>0</v>
      </c>
      <c r="G34" s="7"/>
      <c r="H34" s="7"/>
      <c r="I34" s="7"/>
      <c r="J34" s="7"/>
      <c r="K34" s="7"/>
      <c r="L34" s="7"/>
      <c r="M34" s="7"/>
    </row>
    <row r="35" spans="1:13" x14ac:dyDescent="0.25">
      <c r="A35" s="7"/>
      <c r="B35" s="398" t="s">
        <v>197</v>
      </c>
      <c r="C35" s="294">
        <v>149636456.47999999</v>
      </c>
      <c r="D35" s="295">
        <v>176369397.24000001</v>
      </c>
      <c r="E35" s="296">
        <v>128377.73638586445</v>
      </c>
      <c r="F35" s="297">
        <v>150756.72818533515</v>
      </c>
      <c r="G35" s="7"/>
      <c r="H35" s="7"/>
      <c r="I35" s="7"/>
      <c r="J35" s="7"/>
      <c r="K35" s="7"/>
      <c r="L35" s="7"/>
      <c r="M35" s="7"/>
    </row>
    <row r="36" spans="1:13" x14ac:dyDescent="0.25">
      <c r="A36" s="7"/>
      <c r="B36" s="386" t="s">
        <v>198</v>
      </c>
      <c r="C36" s="216">
        <v>144121120.72</v>
      </c>
      <c r="D36" s="217">
        <v>176369397.24000001</v>
      </c>
      <c r="E36" s="223">
        <v>123567.92395446544</v>
      </c>
      <c r="F36" s="224">
        <v>150756.72818533515</v>
      </c>
      <c r="G36" s="7"/>
      <c r="H36" s="7"/>
      <c r="I36" s="7"/>
      <c r="J36" s="7"/>
      <c r="K36" s="7"/>
      <c r="L36" s="7"/>
      <c r="M36" s="7"/>
    </row>
    <row r="37" spans="1:13" x14ac:dyDescent="0.25">
      <c r="A37" s="7"/>
      <c r="B37" s="255" t="s">
        <v>199</v>
      </c>
      <c r="C37" s="216">
        <v>3088368</v>
      </c>
      <c r="D37" s="217">
        <v>0</v>
      </c>
      <c r="E37" s="223">
        <v>2667.2636527215477</v>
      </c>
      <c r="F37" s="224">
        <v>0</v>
      </c>
      <c r="G37" s="7"/>
      <c r="H37" s="7"/>
      <c r="I37" s="7"/>
      <c r="J37" s="7"/>
      <c r="K37" s="7"/>
      <c r="L37" s="7"/>
      <c r="M37" s="7"/>
    </row>
    <row r="38" spans="1:13" x14ac:dyDescent="0.25">
      <c r="A38" s="7"/>
      <c r="B38" s="255" t="s">
        <v>221</v>
      </c>
      <c r="C38" s="216">
        <v>50000</v>
      </c>
      <c r="D38" s="217">
        <v>0</v>
      </c>
      <c r="E38" s="223">
        <v>43.859649122807021</v>
      </c>
      <c r="F38" s="224">
        <v>0</v>
      </c>
      <c r="G38" s="7"/>
      <c r="H38" s="7"/>
      <c r="I38" s="7"/>
      <c r="J38" s="7"/>
      <c r="K38" s="7"/>
      <c r="L38" s="7"/>
      <c r="M38" s="7"/>
    </row>
    <row r="39" spans="1:13" x14ac:dyDescent="0.25">
      <c r="A39" s="7"/>
      <c r="B39" s="255" t="s">
        <v>200</v>
      </c>
      <c r="C39" s="216">
        <v>53644608.159999996</v>
      </c>
      <c r="D39" s="217">
        <v>0</v>
      </c>
      <c r="E39" s="223">
        <v>45990.543599204917</v>
      </c>
      <c r="F39" s="224">
        <v>0</v>
      </c>
      <c r="G39" s="7"/>
      <c r="H39" s="7"/>
      <c r="I39" s="7"/>
      <c r="J39" s="7"/>
      <c r="K39" s="7"/>
      <c r="L39" s="7"/>
      <c r="M39" s="7"/>
    </row>
    <row r="40" spans="1:13" x14ac:dyDescent="0.25">
      <c r="A40" s="7"/>
      <c r="B40" s="255" t="s">
        <v>201</v>
      </c>
      <c r="C40" s="216">
        <v>87320144.560000002</v>
      </c>
      <c r="D40" s="217">
        <v>176369397.24000001</v>
      </c>
      <c r="E40" s="223">
        <v>74850.872438031554</v>
      </c>
      <c r="F40" s="224">
        <v>150756.72818533515</v>
      </c>
      <c r="G40" s="7"/>
      <c r="H40" s="7"/>
      <c r="I40" s="7"/>
      <c r="J40" s="7"/>
      <c r="K40" s="7"/>
      <c r="L40" s="7"/>
      <c r="M40" s="7"/>
    </row>
    <row r="41" spans="1:13" x14ac:dyDescent="0.25">
      <c r="A41" s="7"/>
      <c r="B41" s="255" t="s">
        <v>998</v>
      </c>
      <c r="C41" s="216">
        <v>18000</v>
      </c>
      <c r="D41" s="217">
        <v>0</v>
      </c>
      <c r="E41" s="223">
        <v>15.384615384615385</v>
      </c>
      <c r="F41" s="224">
        <v>0</v>
      </c>
      <c r="G41" s="7"/>
      <c r="H41" s="7"/>
      <c r="I41" s="7"/>
      <c r="J41" s="7"/>
      <c r="K41" s="7"/>
      <c r="L41" s="7"/>
      <c r="M41" s="7"/>
    </row>
    <row r="42" spans="1:13" x14ac:dyDescent="0.25">
      <c r="A42" s="7"/>
      <c r="B42" s="386" t="s">
        <v>238</v>
      </c>
      <c r="C42" s="216">
        <v>5515335.7599999998</v>
      </c>
      <c r="D42" s="217">
        <v>0</v>
      </c>
      <c r="E42" s="223">
        <v>4809.8124313990102</v>
      </c>
      <c r="F42" s="224">
        <v>0</v>
      </c>
      <c r="G42" s="7"/>
      <c r="H42" s="7"/>
      <c r="I42" s="119"/>
      <c r="J42" s="7"/>
      <c r="K42" s="7"/>
      <c r="L42" s="7"/>
      <c r="M42" s="7"/>
    </row>
    <row r="43" spans="1:13" x14ac:dyDescent="0.25">
      <c r="A43" s="7"/>
      <c r="B43" s="255" t="s">
        <v>239</v>
      </c>
      <c r="C43" s="216">
        <v>5515335.7599999998</v>
      </c>
      <c r="D43" s="217">
        <v>0</v>
      </c>
      <c r="E43" s="223">
        <v>4809.8124313990102</v>
      </c>
      <c r="F43" s="224">
        <v>0</v>
      </c>
      <c r="G43" s="7"/>
      <c r="H43" s="7"/>
      <c r="I43" s="7"/>
      <c r="J43" s="7"/>
      <c r="K43" s="7"/>
      <c r="L43" s="7"/>
      <c r="M43" s="7"/>
    </row>
    <row r="44" spans="1:13" x14ac:dyDescent="0.25">
      <c r="A44" s="7"/>
      <c r="B44" s="398" t="s">
        <v>204</v>
      </c>
      <c r="C44" s="294">
        <v>25482777.529999997</v>
      </c>
      <c r="D44" s="295">
        <v>1</v>
      </c>
      <c r="E44" s="296">
        <v>22175.85912303194</v>
      </c>
      <c r="F44" s="297">
        <v>8.547008547008547E-4</v>
      </c>
      <c r="G44" s="7"/>
      <c r="H44" s="7"/>
      <c r="I44" s="7"/>
      <c r="J44" s="7"/>
      <c r="K44" s="7"/>
      <c r="L44" s="7"/>
      <c r="M44" s="7"/>
    </row>
    <row r="45" spans="1:13" x14ac:dyDescent="0.25">
      <c r="A45" s="7"/>
      <c r="B45" s="386" t="s">
        <v>205</v>
      </c>
      <c r="C45" s="216">
        <v>10084854.309999999</v>
      </c>
      <c r="D45" s="217">
        <v>1</v>
      </c>
      <c r="E45" s="223">
        <v>8833.8442303193897</v>
      </c>
      <c r="F45" s="224">
        <v>8.547008547008547E-4</v>
      </c>
      <c r="G45" s="7"/>
      <c r="H45" s="7"/>
      <c r="I45" s="7"/>
      <c r="J45" s="7"/>
      <c r="K45" s="7"/>
      <c r="L45" s="7"/>
      <c r="M45" s="7"/>
    </row>
    <row r="46" spans="1:13" x14ac:dyDescent="0.25">
      <c r="A46" s="7"/>
      <c r="B46" s="255" t="s">
        <v>206</v>
      </c>
      <c r="C46" s="216">
        <v>5909888.8399999989</v>
      </c>
      <c r="D46" s="217">
        <v>0</v>
      </c>
      <c r="E46" s="223">
        <v>5184.1130175438602</v>
      </c>
      <c r="F46" s="224">
        <v>0</v>
      </c>
      <c r="G46" s="7"/>
      <c r="H46" s="7"/>
      <c r="I46" s="7"/>
      <c r="J46" s="7"/>
      <c r="K46" s="7"/>
      <c r="L46" s="7"/>
      <c r="M46" s="7"/>
    </row>
    <row r="47" spans="1:13" x14ac:dyDescent="0.25">
      <c r="A47" s="7"/>
      <c r="B47" s="255" t="s">
        <v>207</v>
      </c>
      <c r="C47" s="216">
        <v>3370244.4700000007</v>
      </c>
      <c r="D47" s="217">
        <v>1</v>
      </c>
      <c r="E47" s="223">
        <v>2943.8355987404411</v>
      </c>
      <c r="F47" s="224">
        <v>8.547008547008547E-4</v>
      </c>
      <c r="G47" s="7"/>
      <c r="H47" s="7"/>
      <c r="I47" s="7"/>
      <c r="J47" s="7"/>
      <c r="K47" s="7"/>
      <c r="L47" s="7"/>
      <c r="M47" s="7"/>
    </row>
    <row r="48" spans="1:13" x14ac:dyDescent="0.25">
      <c r="A48" s="7"/>
      <c r="B48" s="255" t="s">
        <v>925</v>
      </c>
      <c r="C48" s="216">
        <v>232500</v>
      </c>
      <c r="D48" s="217">
        <v>0</v>
      </c>
      <c r="E48" s="223">
        <v>203.94736842105263</v>
      </c>
      <c r="F48" s="224">
        <v>0</v>
      </c>
      <c r="G48" s="7"/>
      <c r="H48" s="7"/>
      <c r="I48" s="7"/>
      <c r="J48" s="7"/>
      <c r="K48" s="7"/>
      <c r="L48" s="7"/>
      <c r="M48" s="7"/>
    </row>
    <row r="49" spans="1:13" x14ac:dyDescent="0.25">
      <c r="A49" s="7"/>
      <c r="B49" s="255" t="s">
        <v>585</v>
      </c>
      <c r="C49" s="216">
        <v>572221</v>
      </c>
      <c r="D49" s="217">
        <v>0</v>
      </c>
      <c r="E49" s="223">
        <v>501.9482456140351</v>
      </c>
      <c r="F49" s="224">
        <v>0</v>
      </c>
      <c r="G49" s="7"/>
      <c r="H49" s="7"/>
      <c r="I49" s="7"/>
      <c r="J49" s="7"/>
      <c r="K49" s="7"/>
      <c r="L49" s="7"/>
      <c r="M49" s="7"/>
    </row>
    <row r="50" spans="1:13" x14ac:dyDescent="0.25">
      <c r="A50" s="7"/>
      <c r="B50" s="386" t="s">
        <v>208</v>
      </c>
      <c r="C50" s="216">
        <v>2392097.3200000003</v>
      </c>
      <c r="D50" s="217">
        <v>0</v>
      </c>
      <c r="E50" s="223">
        <v>2097.9936005398108</v>
      </c>
      <c r="F50" s="224">
        <v>0</v>
      </c>
      <c r="G50" s="7"/>
      <c r="H50" s="7"/>
      <c r="I50" s="7"/>
      <c r="J50" s="7"/>
      <c r="K50" s="7"/>
      <c r="L50" s="7"/>
      <c r="M50" s="7"/>
    </row>
    <row r="51" spans="1:13" x14ac:dyDescent="0.25">
      <c r="A51" s="7"/>
      <c r="B51" s="255" t="s">
        <v>209</v>
      </c>
      <c r="C51" s="216">
        <v>505000</v>
      </c>
      <c r="D51" s="217">
        <v>0</v>
      </c>
      <c r="E51" s="223">
        <v>442.64507422402158</v>
      </c>
      <c r="F51" s="224">
        <v>0</v>
      </c>
      <c r="G51" s="7"/>
      <c r="H51" s="7"/>
      <c r="I51" s="7"/>
      <c r="J51" s="7"/>
      <c r="K51" s="7"/>
      <c r="L51" s="7"/>
      <c r="M51" s="7"/>
    </row>
    <row r="52" spans="1:13" x14ac:dyDescent="0.25">
      <c r="A52" s="7"/>
      <c r="B52" s="255" t="s">
        <v>228</v>
      </c>
      <c r="C52" s="216">
        <v>1393314.6</v>
      </c>
      <c r="D52" s="217">
        <v>0</v>
      </c>
      <c r="E52" s="223">
        <v>1222.2057894736843</v>
      </c>
      <c r="F52" s="224">
        <v>0</v>
      </c>
      <c r="G52" s="7"/>
      <c r="H52" s="7"/>
      <c r="I52" s="7"/>
      <c r="J52" s="7"/>
      <c r="K52" s="7"/>
      <c r="L52" s="7"/>
      <c r="M52" s="7"/>
    </row>
    <row r="53" spans="1:13" x14ac:dyDescent="0.25">
      <c r="A53" s="7"/>
      <c r="B53" s="255" t="s">
        <v>211</v>
      </c>
      <c r="C53" s="216">
        <v>102000</v>
      </c>
      <c r="D53" s="217">
        <v>0</v>
      </c>
      <c r="E53" s="223">
        <v>89.473684210526315</v>
      </c>
      <c r="F53" s="224">
        <v>0</v>
      </c>
      <c r="G53" s="7"/>
      <c r="H53" s="7"/>
      <c r="I53" s="7"/>
      <c r="J53" s="7"/>
      <c r="K53" s="7"/>
      <c r="L53" s="7"/>
      <c r="M53" s="7"/>
    </row>
    <row r="54" spans="1:13" x14ac:dyDescent="0.25">
      <c r="A54" s="7"/>
      <c r="B54" s="255" t="s">
        <v>207</v>
      </c>
      <c r="C54" s="216">
        <v>391782.72</v>
      </c>
      <c r="D54" s="217">
        <v>0</v>
      </c>
      <c r="E54" s="223">
        <v>343.66905263157895</v>
      </c>
      <c r="F54" s="224">
        <v>0</v>
      </c>
      <c r="G54" s="7"/>
      <c r="H54" s="7"/>
      <c r="I54" s="7"/>
      <c r="J54" s="7"/>
      <c r="K54" s="7"/>
      <c r="L54" s="7"/>
      <c r="M54" s="7"/>
    </row>
    <row r="55" spans="1:13" x14ac:dyDescent="0.25">
      <c r="A55" s="7"/>
      <c r="B55" s="386" t="s">
        <v>210</v>
      </c>
      <c r="C55" s="216">
        <v>13005825.9</v>
      </c>
      <c r="D55" s="217">
        <v>0</v>
      </c>
      <c r="E55" s="223">
        <v>11244.02129217274</v>
      </c>
      <c r="F55" s="224">
        <v>0</v>
      </c>
      <c r="G55" s="7"/>
      <c r="H55" s="7"/>
      <c r="I55" s="7"/>
      <c r="J55" s="7"/>
      <c r="K55" s="7"/>
      <c r="L55" s="7"/>
      <c r="M55" s="7"/>
    </row>
    <row r="56" spans="1:13" x14ac:dyDescent="0.25">
      <c r="A56" s="7"/>
      <c r="B56" s="255" t="s">
        <v>33</v>
      </c>
      <c r="C56" s="216">
        <v>1096199.33</v>
      </c>
      <c r="D56" s="217">
        <v>0</v>
      </c>
      <c r="E56" s="223">
        <v>953.47895951417001</v>
      </c>
      <c r="F56" s="224">
        <v>0</v>
      </c>
      <c r="G56" s="7"/>
      <c r="H56" s="7"/>
      <c r="I56" s="7"/>
      <c r="J56" s="7"/>
      <c r="K56" s="7"/>
      <c r="L56" s="7"/>
      <c r="M56" s="7"/>
    </row>
    <row r="57" spans="1:13" x14ac:dyDescent="0.25">
      <c r="A57" s="7"/>
      <c r="B57" s="255" t="s">
        <v>211</v>
      </c>
      <c r="C57" s="216">
        <v>3726255.4299999997</v>
      </c>
      <c r="D57" s="217">
        <v>0</v>
      </c>
      <c r="E57" s="223">
        <v>3229.6991801619433</v>
      </c>
      <c r="F57" s="224">
        <v>0</v>
      </c>
      <c r="G57" s="7"/>
      <c r="H57" s="7"/>
      <c r="I57" s="7"/>
      <c r="J57" s="7"/>
      <c r="K57" s="7"/>
      <c r="L57" s="7"/>
      <c r="M57" s="7"/>
    </row>
    <row r="58" spans="1:13" x14ac:dyDescent="0.25">
      <c r="A58" s="7"/>
      <c r="B58" s="255" t="s">
        <v>212</v>
      </c>
      <c r="C58" s="216">
        <v>501220</v>
      </c>
      <c r="D58" s="217">
        <v>0</v>
      </c>
      <c r="E58" s="223">
        <v>432.91115609536666</v>
      </c>
      <c r="F58" s="224">
        <v>0</v>
      </c>
      <c r="G58" s="7"/>
      <c r="H58" s="7"/>
      <c r="I58" s="7"/>
      <c r="J58" s="7"/>
      <c r="K58" s="7"/>
      <c r="L58" s="7"/>
      <c r="M58" s="7"/>
    </row>
    <row r="59" spans="1:13" x14ac:dyDescent="0.25">
      <c r="A59" s="7"/>
      <c r="B59" s="255" t="s">
        <v>213</v>
      </c>
      <c r="C59" s="216">
        <v>10239.15</v>
      </c>
      <c r="D59" s="217">
        <v>0</v>
      </c>
      <c r="E59" s="223">
        <v>8.9817105263157888</v>
      </c>
      <c r="F59" s="224">
        <v>0</v>
      </c>
      <c r="G59" s="7"/>
      <c r="H59" s="7"/>
      <c r="I59" s="7"/>
      <c r="J59" s="7"/>
      <c r="K59" s="7"/>
      <c r="L59" s="7"/>
      <c r="M59" s="7"/>
    </row>
    <row r="60" spans="1:13" x14ac:dyDescent="0.25">
      <c r="A60" s="7"/>
      <c r="B60" s="255" t="s">
        <v>229</v>
      </c>
      <c r="C60" s="216">
        <v>689897</v>
      </c>
      <c r="D60" s="217">
        <v>0</v>
      </c>
      <c r="E60" s="223">
        <v>601.94608636977057</v>
      </c>
      <c r="F60" s="224">
        <v>0</v>
      </c>
      <c r="G60" s="7"/>
      <c r="H60" s="7"/>
      <c r="I60" s="7"/>
      <c r="J60" s="7"/>
      <c r="K60" s="7"/>
      <c r="L60" s="7"/>
      <c r="M60" s="7"/>
    </row>
    <row r="61" spans="1:13" x14ac:dyDescent="0.25">
      <c r="A61" s="7"/>
      <c r="B61" s="255" t="s">
        <v>230</v>
      </c>
      <c r="C61" s="216">
        <v>5823368.2799999993</v>
      </c>
      <c r="D61" s="217">
        <v>0</v>
      </c>
      <c r="E61" s="223">
        <v>5019.9602278452539</v>
      </c>
      <c r="F61" s="224">
        <v>0</v>
      </c>
      <c r="G61" s="7"/>
      <c r="H61" s="7"/>
      <c r="I61" s="7"/>
      <c r="J61" s="7"/>
      <c r="K61" s="7"/>
      <c r="L61" s="7"/>
      <c r="M61" s="7"/>
    </row>
    <row r="62" spans="1:13" x14ac:dyDescent="0.25">
      <c r="A62" s="7"/>
      <c r="B62" s="255" t="s">
        <v>250</v>
      </c>
      <c r="C62" s="216">
        <v>75315.239999999991</v>
      </c>
      <c r="D62" s="217">
        <v>0</v>
      </c>
      <c r="E62" s="223">
        <v>64.372</v>
      </c>
      <c r="F62" s="224">
        <v>0</v>
      </c>
      <c r="G62" s="7"/>
      <c r="H62" s="7"/>
      <c r="I62" s="7"/>
      <c r="J62" s="7"/>
      <c r="K62" s="7"/>
      <c r="L62" s="7"/>
      <c r="M62" s="7"/>
    </row>
    <row r="63" spans="1:13" x14ac:dyDescent="0.25">
      <c r="A63" s="7"/>
      <c r="B63" s="255" t="s">
        <v>251</v>
      </c>
      <c r="C63" s="216">
        <v>986401.47</v>
      </c>
      <c r="D63" s="217">
        <v>0</v>
      </c>
      <c r="E63" s="223">
        <v>849.82581781376518</v>
      </c>
      <c r="F63" s="224">
        <v>0</v>
      </c>
      <c r="G63" s="7"/>
      <c r="H63" s="7"/>
      <c r="I63" s="7"/>
      <c r="J63" s="7"/>
      <c r="K63" s="7"/>
      <c r="L63" s="7"/>
      <c r="M63" s="7"/>
    </row>
    <row r="64" spans="1:13" x14ac:dyDescent="0.25">
      <c r="A64" s="7"/>
      <c r="B64" s="255" t="s">
        <v>996</v>
      </c>
      <c r="C64" s="216">
        <v>96930</v>
      </c>
      <c r="D64" s="217">
        <v>0</v>
      </c>
      <c r="E64" s="223">
        <v>82.84615384615384</v>
      </c>
      <c r="F64" s="224">
        <v>0</v>
      </c>
      <c r="G64" s="7"/>
      <c r="H64" s="7"/>
      <c r="I64" s="7"/>
      <c r="J64" s="7"/>
      <c r="K64" s="7"/>
      <c r="L64" s="7"/>
      <c r="M64" s="7"/>
    </row>
    <row r="65" spans="1:13" x14ac:dyDescent="0.25">
      <c r="A65" s="7"/>
      <c r="B65" s="398" t="s">
        <v>214</v>
      </c>
      <c r="C65" s="294">
        <v>412989744.73000002</v>
      </c>
      <c r="D65" s="295">
        <v>402642370.50000006</v>
      </c>
      <c r="E65" s="296">
        <v>353928.82615851407</v>
      </c>
      <c r="F65" s="297">
        <v>348498.32272154541</v>
      </c>
      <c r="G65" s="7"/>
      <c r="H65" s="7"/>
      <c r="I65" s="7"/>
      <c r="J65" s="7"/>
      <c r="K65" s="7"/>
      <c r="L65" s="7"/>
      <c r="M65" s="7"/>
    </row>
    <row r="66" spans="1:13" x14ac:dyDescent="0.25">
      <c r="A66" s="7"/>
      <c r="B66" s="386" t="s">
        <v>38</v>
      </c>
      <c r="C66" s="216">
        <v>79037311.770000011</v>
      </c>
      <c r="D66" s="217">
        <v>0</v>
      </c>
      <c r="E66" s="223">
        <v>68068.432660089835</v>
      </c>
      <c r="F66" s="224">
        <v>0</v>
      </c>
      <c r="G66" s="7"/>
      <c r="H66" s="7"/>
      <c r="I66" s="7"/>
      <c r="J66" s="7"/>
      <c r="K66" s="7"/>
      <c r="L66" s="7"/>
      <c r="M66" s="7"/>
    </row>
    <row r="67" spans="1:13" x14ac:dyDescent="0.25">
      <c r="A67" s="7"/>
      <c r="B67" s="255" t="s">
        <v>215</v>
      </c>
      <c r="C67" s="216">
        <v>1830361.64</v>
      </c>
      <c r="D67" s="217">
        <v>0</v>
      </c>
      <c r="E67" s="223">
        <v>1605.5803859649122</v>
      </c>
      <c r="F67" s="224">
        <v>0</v>
      </c>
      <c r="G67" s="7"/>
      <c r="H67" s="7"/>
      <c r="I67" s="7"/>
      <c r="J67" s="7"/>
      <c r="K67" s="7"/>
      <c r="L67" s="7"/>
      <c r="M67" s="7"/>
    </row>
    <row r="68" spans="1:13" x14ac:dyDescent="0.25">
      <c r="A68" s="7"/>
      <c r="B68" s="255" t="s">
        <v>243</v>
      </c>
      <c r="C68" s="216">
        <v>3721914.98</v>
      </c>
      <c r="D68" s="217">
        <v>0</v>
      </c>
      <c r="E68" s="223">
        <v>3264.8377017543858</v>
      </c>
      <c r="F68" s="224">
        <v>0</v>
      </c>
      <c r="G68" s="7"/>
      <c r="H68" s="7"/>
      <c r="I68" s="7"/>
      <c r="J68" s="7"/>
      <c r="K68" s="7"/>
      <c r="L68" s="7"/>
      <c r="M68" s="7"/>
    </row>
    <row r="69" spans="1:13" x14ac:dyDescent="0.25">
      <c r="A69" s="7"/>
      <c r="B69" s="255" t="s">
        <v>244</v>
      </c>
      <c r="C69" s="216">
        <v>22882213.690000001</v>
      </c>
      <c r="D69" s="217">
        <v>0</v>
      </c>
      <c r="E69" s="223">
        <v>20072.117271929827</v>
      </c>
      <c r="F69" s="224">
        <v>0</v>
      </c>
      <c r="G69" s="7"/>
      <c r="H69" s="7"/>
      <c r="I69" s="7"/>
      <c r="J69" s="7"/>
      <c r="K69" s="7"/>
      <c r="L69" s="7"/>
      <c r="M69" s="7"/>
    </row>
    <row r="70" spans="1:13" x14ac:dyDescent="0.25">
      <c r="A70" s="7"/>
      <c r="B70" s="255" t="s">
        <v>930</v>
      </c>
      <c r="C70" s="216">
        <v>3677142.48</v>
      </c>
      <c r="D70" s="217">
        <v>0</v>
      </c>
      <c r="E70" s="223">
        <v>3150.9361439588688</v>
      </c>
      <c r="F70" s="224">
        <v>0</v>
      </c>
      <c r="G70" s="7"/>
      <c r="H70" s="7"/>
      <c r="I70" s="7"/>
      <c r="J70" s="7"/>
      <c r="K70" s="7"/>
      <c r="L70" s="7"/>
      <c r="M70" s="7"/>
    </row>
    <row r="71" spans="1:13" x14ac:dyDescent="0.25">
      <c r="A71" s="7"/>
      <c r="B71" s="255" t="s">
        <v>931</v>
      </c>
      <c r="C71" s="216">
        <v>3743547.5</v>
      </c>
      <c r="D71" s="217">
        <v>0</v>
      </c>
      <c r="E71" s="223">
        <v>3151.1342592592591</v>
      </c>
      <c r="F71" s="224">
        <v>0</v>
      </c>
      <c r="G71" s="7"/>
      <c r="H71" s="7"/>
      <c r="I71" s="7"/>
      <c r="J71" s="7"/>
      <c r="K71" s="7"/>
      <c r="L71" s="7"/>
      <c r="M71" s="7"/>
    </row>
    <row r="72" spans="1:13" x14ac:dyDescent="0.25">
      <c r="A72" s="7"/>
      <c r="B72" s="255" t="s">
        <v>1005</v>
      </c>
      <c r="C72" s="216">
        <v>39491465.219999999</v>
      </c>
      <c r="D72" s="217">
        <v>0</v>
      </c>
      <c r="E72" s="223">
        <v>33753.389076923078</v>
      </c>
      <c r="F72" s="224">
        <v>0</v>
      </c>
      <c r="G72" s="7"/>
      <c r="H72" s="7"/>
      <c r="I72" s="7"/>
      <c r="J72" s="7"/>
      <c r="K72" s="7"/>
      <c r="L72" s="7"/>
      <c r="M72" s="7"/>
    </row>
    <row r="73" spans="1:13" x14ac:dyDescent="0.25">
      <c r="A73" s="7"/>
      <c r="B73" s="255" t="s">
        <v>1035</v>
      </c>
      <c r="C73" s="216">
        <v>3690666.26</v>
      </c>
      <c r="D73" s="217">
        <v>0</v>
      </c>
      <c r="E73" s="223">
        <v>3070.4378202995008</v>
      </c>
      <c r="F73" s="224">
        <v>0</v>
      </c>
      <c r="G73" s="7"/>
      <c r="H73" s="7"/>
      <c r="I73" s="7"/>
      <c r="J73" s="7"/>
      <c r="K73" s="7"/>
      <c r="L73" s="7"/>
      <c r="M73" s="7"/>
    </row>
    <row r="74" spans="1:13" x14ac:dyDescent="0.25">
      <c r="A74" s="7"/>
      <c r="B74" s="386" t="s">
        <v>216</v>
      </c>
      <c r="C74" s="216">
        <v>282025203.72000003</v>
      </c>
      <c r="D74" s="217">
        <v>282025203.72000003</v>
      </c>
      <c r="E74" s="223">
        <v>241471.57183580619</v>
      </c>
      <c r="F74" s="224">
        <v>243991.36663427597</v>
      </c>
      <c r="G74" s="7"/>
      <c r="H74" s="7"/>
      <c r="I74" s="7"/>
      <c r="J74" s="7"/>
      <c r="K74" s="7"/>
      <c r="L74" s="7"/>
      <c r="M74" s="7"/>
    </row>
    <row r="75" spans="1:13" x14ac:dyDescent="0.25">
      <c r="A75" s="7"/>
      <c r="B75" s="255" t="s">
        <v>217</v>
      </c>
      <c r="C75" s="216">
        <v>282025203.72000003</v>
      </c>
      <c r="D75" s="217">
        <v>282025203.72000003</v>
      </c>
      <c r="E75" s="223">
        <v>241471.57183580619</v>
      </c>
      <c r="F75" s="224">
        <v>243991.36663427597</v>
      </c>
      <c r="G75" s="7"/>
      <c r="H75" s="7"/>
      <c r="I75" s="7"/>
      <c r="J75" s="7"/>
      <c r="K75" s="7"/>
      <c r="L75" s="7"/>
      <c r="M75" s="7"/>
    </row>
    <row r="76" spans="1:13" x14ac:dyDescent="0.25">
      <c r="A76" s="7"/>
      <c r="B76" s="386" t="s">
        <v>218</v>
      </c>
      <c r="C76" s="216">
        <v>24634929.239999998</v>
      </c>
      <c r="D76" s="217">
        <v>93541526.700000003</v>
      </c>
      <c r="E76" s="223">
        <v>21055.495076923075</v>
      </c>
      <c r="F76" s="224">
        <v>81365.383369320727</v>
      </c>
      <c r="G76" s="7"/>
      <c r="H76" s="7"/>
      <c r="I76" s="7"/>
      <c r="J76" s="7"/>
      <c r="K76" s="7"/>
      <c r="L76" s="7"/>
      <c r="M76" s="7"/>
    </row>
    <row r="77" spans="1:13" x14ac:dyDescent="0.25">
      <c r="A77" s="7"/>
      <c r="B77" s="255" t="s">
        <v>240</v>
      </c>
      <c r="C77" s="216">
        <v>0</v>
      </c>
      <c r="D77" s="217">
        <v>19664000</v>
      </c>
      <c r="E77" s="223">
        <v>0</v>
      </c>
      <c r="F77" s="224">
        <v>17249.122807017542</v>
      </c>
      <c r="G77" s="7"/>
      <c r="H77" s="7"/>
      <c r="I77" s="7"/>
      <c r="J77" s="7"/>
      <c r="K77" s="7"/>
      <c r="L77" s="7"/>
      <c r="M77" s="7"/>
    </row>
    <row r="78" spans="1:13" x14ac:dyDescent="0.25">
      <c r="A78" s="7"/>
      <c r="B78" s="255" t="s">
        <v>906</v>
      </c>
      <c r="C78" s="216">
        <v>0</v>
      </c>
      <c r="D78" s="217">
        <v>17500000</v>
      </c>
      <c r="E78" s="223">
        <v>0</v>
      </c>
      <c r="F78" s="224">
        <v>15350.877192982454</v>
      </c>
      <c r="G78" s="7"/>
      <c r="H78" s="7"/>
      <c r="I78" s="7"/>
      <c r="J78" s="7"/>
      <c r="K78" s="7"/>
      <c r="L78" s="7"/>
      <c r="M78" s="7"/>
    </row>
    <row r="79" spans="1:13" x14ac:dyDescent="0.25">
      <c r="A79" s="7"/>
      <c r="B79" s="255" t="s">
        <v>1062</v>
      </c>
      <c r="C79" s="216">
        <v>0</v>
      </c>
      <c r="D79" s="217">
        <v>25762930</v>
      </c>
      <c r="E79" s="223">
        <v>0</v>
      </c>
      <c r="F79" s="224">
        <v>22599.061403508771</v>
      </c>
      <c r="G79" s="7"/>
      <c r="H79" s="7"/>
      <c r="I79" s="7"/>
      <c r="J79" s="7"/>
      <c r="K79" s="7"/>
      <c r="L79" s="7"/>
      <c r="M79" s="7"/>
    </row>
    <row r="80" spans="1:13" x14ac:dyDescent="0.25">
      <c r="A80" s="7"/>
      <c r="B80" s="255" t="s">
        <v>1063</v>
      </c>
      <c r="C80" s="216">
        <v>24634929.239999998</v>
      </c>
      <c r="D80" s="217">
        <v>30614596.699999999</v>
      </c>
      <c r="E80" s="223">
        <v>21055.495076923075</v>
      </c>
      <c r="F80" s="224">
        <v>26166.321965811967</v>
      </c>
      <c r="G80" s="7"/>
      <c r="H80" s="7"/>
      <c r="I80" s="7"/>
      <c r="J80" s="7"/>
      <c r="K80" s="7"/>
      <c r="L80" s="7"/>
      <c r="M80" s="7"/>
    </row>
    <row r="81" spans="1:13" x14ac:dyDescent="0.25">
      <c r="A81" s="7"/>
      <c r="B81" s="386" t="s">
        <v>245</v>
      </c>
      <c r="C81" s="216">
        <v>292300</v>
      </c>
      <c r="D81" s="217">
        <v>17155.41</v>
      </c>
      <c r="E81" s="223">
        <v>256.40350877192981</v>
      </c>
      <c r="F81" s="224">
        <v>14.66274358974359</v>
      </c>
      <c r="G81" s="7"/>
      <c r="H81" s="7"/>
      <c r="I81" s="7"/>
      <c r="J81" s="7"/>
      <c r="K81" s="7"/>
      <c r="L81" s="7"/>
      <c r="M81" s="7"/>
    </row>
    <row r="82" spans="1:13" x14ac:dyDescent="0.25">
      <c r="A82" s="7"/>
      <c r="B82" s="255" t="s">
        <v>246</v>
      </c>
      <c r="C82" s="216">
        <v>0</v>
      </c>
      <c r="D82" s="217">
        <v>17155.41</v>
      </c>
      <c r="E82" s="223">
        <v>0</v>
      </c>
      <c r="F82" s="224">
        <v>14.66274358974359</v>
      </c>
      <c r="G82" s="7"/>
      <c r="H82" s="7"/>
      <c r="I82" s="7"/>
      <c r="J82" s="7"/>
      <c r="K82" s="7"/>
      <c r="L82" s="7"/>
      <c r="M82" s="7"/>
    </row>
    <row r="83" spans="1:13" x14ac:dyDescent="0.25">
      <c r="A83" s="7"/>
      <c r="B83" s="255" t="s">
        <v>232</v>
      </c>
      <c r="C83" s="216">
        <v>292300</v>
      </c>
      <c r="D83" s="217">
        <v>0</v>
      </c>
      <c r="E83" s="223">
        <v>256.40350877192981</v>
      </c>
      <c r="F83" s="224">
        <v>0</v>
      </c>
      <c r="G83" s="7"/>
      <c r="H83" s="7"/>
      <c r="I83" s="7"/>
      <c r="J83" s="7"/>
      <c r="K83" s="7"/>
      <c r="L83" s="7"/>
      <c r="M83" s="7"/>
    </row>
    <row r="84" spans="1:13" x14ac:dyDescent="0.25">
      <c r="A84" s="7"/>
      <c r="B84" s="386" t="s">
        <v>60</v>
      </c>
      <c r="C84" s="216">
        <v>27000000</v>
      </c>
      <c r="D84" s="217">
        <v>27058484.669999998</v>
      </c>
      <c r="E84" s="223">
        <v>23076.923076923078</v>
      </c>
      <c r="F84" s="224">
        <v>23126.909974358976</v>
      </c>
      <c r="G84" s="7"/>
      <c r="H84" s="7"/>
      <c r="I84" s="7"/>
      <c r="J84" s="7"/>
      <c r="K84" s="7"/>
      <c r="L84" s="7"/>
      <c r="M84" s="7"/>
    </row>
    <row r="85" spans="1:13" x14ac:dyDescent="0.25">
      <c r="A85" s="7"/>
      <c r="B85" s="255" t="s">
        <v>844</v>
      </c>
      <c r="C85" s="216">
        <v>27000000</v>
      </c>
      <c r="D85" s="217">
        <v>0</v>
      </c>
      <c r="E85" s="223">
        <v>23076.923076923078</v>
      </c>
      <c r="F85" s="224">
        <v>0</v>
      </c>
      <c r="G85" s="7"/>
      <c r="H85" s="7"/>
      <c r="I85" s="7"/>
      <c r="J85" s="7"/>
      <c r="K85" s="7"/>
      <c r="L85" s="7"/>
      <c r="M85" s="7"/>
    </row>
    <row r="86" spans="1:13" x14ac:dyDescent="0.25">
      <c r="A86" s="7"/>
      <c r="B86" s="255" t="s">
        <v>856</v>
      </c>
      <c r="C86" s="216">
        <v>0</v>
      </c>
      <c r="D86" s="217">
        <v>27058484.669999998</v>
      </c>
      <c r="E86" s="223">
        <v>0</v>
      </c>
      <c r="F86" s="224">
        <v>23126.909974358976</v>
      </c>
      <c r="G86" s="7"/>
      <c r="H86" s="7"/>
      <c r="I86" s="7"/>
      <c r="J86" s="7"/>
      <c r="K86" s="7"/>
      <c r="L86" s="7"/>
      <c r="M86" s="7"/>
    </row>
    <row r="87" spans="1:13" x14ac:dyDescent="0.25">
      <c r="A87" s="7"/>
      <c r="B87" s="398" t="s">
        <v>219</v>
      </c>
      <c r="C87" s="294">
        <v>235843510.26000002</v>
      </c>
      <c r="D87" s="295">
        <v>390887120.39999998</v>
      </c>
      <c r="E87" s="296">
        <v>203176.48874336481</v>
      </c>
      <c r="F87" s="297">
        <v>327670.73681574239</v>
      </c>
      <c r="G87" s="7"/>
      <c r="H87" s="7"/>
      <c r="I87" s="7"/>
      <c r="J87" s="7"/>
      <c r="K87" s="7"/>
      <c r="L87" s="7"/>
      <c r="M87" s="7"/>
    </row>
    <row r="88" spans="1:13" x14ac:dyDescent="0.25">
      <c r="A88" s="7"/>
      <c r="B88" s="386" t="s">
        <v>220</v>
      </c>
      <c r="C88" s="216">
        <v>48211831.310000002</v>
      </c>
      <c r="D88" s="217">
        <v>0</v>
      </c>
      <c r="E88" s="223">
        <v>40934.269568825912</v>
      </c>
      <c r="F88" s="224">
        <v>0</v>
      </c>
      <c r="G88" s="7"/>
      <c r="H88" s="7"/>
      <c r="I88" s="7"/>
      <c r="J88" s="7"/>
      <c r="K88" s="7"/>
      <c r="L88" s="7"/>
      <c r="M88" s="7"/>
    </row>
    <row r="89" spans="1:13" x14ac:dyDescent="0.25">
      <c r="A89" s="7"/>
      <c r="B89" s="255" t="s">
        <v>199</v>
      </c>
      <c r="C89" s="216">
        <v>3433090</v>
      </c>
      <c r="D89" s="217">
        <v>0</v>
      </c>
      <c r="E89" s="223">
        <v>2945.5256671792777</v>
      </c>
      <c r="F89" s="224">
        <v>0</v>
      </c>
      <c r="G89" s="7"/>
      <c r="H89" s="7"/>
      <c r="I89" s="7"/>
      <c r="J89" s="7"/>
      <c r="K89" s="7"/>
      <c r="L89" s="7"/>
      <c r="M89" s="7"/>
    </row>
    <row r="90" spans="1:13" x14ac:dyDescent="0.25">
      <c r="A90" s="7"/>
      <c r="B90" s="255" t="s">
        <v>231</v>
      </c>
      <c r="C90" s="216">
        <v>21005855.780000001</v>
      </c>
      <c r="D90" s="217">
        <v>0</v>
      </c>
      <c r="E90" s="223">
        <v>18178.209316464236</v>
      </c>
      <c r="F90" s="224">
        <v>0</v>
      </c>
      <c r="G90" s="7"/>
      <c r="H90" s="7"/>
      <c r="I90" s="7"/>
      <c r="J90" s="7"/>
      <c r="K90" s="7"/>
      <c r="L90" s="7"/>
      <c r="M90" s="7"/>
    </row>
    <row r="91" spans="1:13" x14ac:dyDescent="0.25">
      <c r="A91" s="7"/>
      <c r="B91" s="255" t="s">
        <v>221</v>
      </c>
      <c r="C91" s="216">
        <v>40000</v>
      </c>
      <c r="D91" s="217">
        <v>0</v>
      </c>
      <c r="E91" s="223">
        <v>35.087719298245617</v>
      </c>
      <c r="F91" s="224">
        <v>0</v>
      </c>
      <c r="G91" s="7"/>
      <c r="H91" s="7"/>
      <c r="I91" s="7"/>
      <c r="J91" s="7"/>
      <c r="K91" s="7"/>
      <c r="L91" s="7"/>
      <c r="M91" s="7"/>
    </row>
    <row r="92" spans="1:13" x14ac:dyDescent="0.25">
      <c r="A92" s="7"/>
      <c r="B92" s="255" t="s">
        <v>222</v>
      </c>
      <c r="C92" s="216">
        <v>3997589.4499999997</v>
      </c>
      <c r="D92" s="217">
        <v>0</v>
      </c>
      <c r="E92" s="223">
        <v>3359.6846062517652</v>
      </c>
      <c r="F92" s="224">
        <v>0</v>
      </c>
      <c r="G92" s="7"/>
      <c r="H92" s="7"/>
      <c r="I92" s="7"/>
      <c r="J92" s="7"/>
      <c r="K92" s="7"/>
      <c r="L92" s="7"/>
      <c r="M92" s="7"/>
    </row>
    <row r="93" spans="1:13" x14ac:dyDescent="0.25">
      <c r="A93" s="7"/>
      <c r="B93" s="255" t="s">
        <v>788</v>
      </c>
      <c r="C93" s="216">
        <v>400989</v>
      </c>
      <c r="D93" s="217">
        <v>0</v>
      </c>
      <c r="E93" s="223">
        <v>343.96720647773282</v>
      </c>
      <c r="F93" s="224">
        <v>0</v>
      </c>
      <c r="G93" s="7"/>
      <c r="H93" s="7"/>
      <c r="I93" s="7"/>
      <c r="J93" s="7"/>
      <c r="K93" s="7"/>
      <c r="L93" s="7"/>
      <c r="M93" s="7"/>
    </row>
    <row r="94" spans="1:13" x14ac:dyDescent="0.25">
      <c r="A94" s="7"/>
      <c r="B94" s="255" t="s">
        <v>736</v>
      </c>
      <c r="C94" s="216">
        <v>6489108</v>
      </c>
      <c r="D94" s="217">
        <v>0</v>
      </c>
      <c r="E94" s="223">
        <v>5554.7348178137654</v>
      </c>
      <c r="F94" s="224">
        <v>0</v>
      </c>
      <c r="G94" s="7"/>
      <c r="H94" s="7"/>
      <c r="I94" s="7"/>
      <c r="J94" s="7"/>
      <c r="K94" s="7"/>
      <c r="L94" s="7"/>
      <c r="M94" s="7"/>
    </row>
    <row r="95" spans="1:13" x14ac:dyDescent="0.25">
      <c r="A95" s="7"/>
      <c r="B95" s="255" t="s">
        <v>940</v>
      </c>
      <c r="C95" s="216">
        <v>996069.08</v>
      </c>
      <c r="D95" s="217">
        <v>0</v>
      </c>
      <c r="E95" s="223">
        <v>851.34109401709395</v>
      </c>
      <c r="F95" s="224">
        <v>0</v>
      </c>
      <c r="G95" s="7"/>
      <c r="H95" s="7"/>
      <c r="I95" s="7"/>
      <c r="J95" s="7"/>
      <c r="K95" s="7"/>
      <c r="L95" s="7"/>
      <c r="M95" s="7"/>
    </row>
    <row r="96" spans="1:13" x14ac:dyDescent="0.25">
      <c r="A96" s="7"/>
      <c r="B96" s="255" t="s">
        <v>974</v>
      </c>
      <c r="C96" s="216">
        <v>234000</v>
      </c>
      <c r="D96" s="217">
        <v>0</v>
      </c>
      <c r="E96" s="223">
        <v>200</v>
      </c>
      <c r="F96" s="224">
        <v>0</v>
      </c>
      <c r="G96" s="7"/>
      <c r="H96" s="7"/>
      <c r="I96" s="7"/>
      <c r="J96" s="7"/>
      <c r="K96" s="7"/>
      <c r="L96" s="7"/>
      <c r="M96" s="7"/>
    </row>
    <row r="97" spans="1:13" x14ac:dyDescent="0.25">
      <c r="A97" s="7"/>
      <c r="B97" s="255" t="s">
        <v>939</v>
      </c>
      <c r="C97" s="216">
        <v>11615130</v>
      </c>
      <c r="D97" s="217">
        <v>0</v>
      </c>
      <c r="E97" s="223">
        <v>9465.7191413237924</v>
      </c>
      <c r="F97" s="224">
        <v>0</v>
      </c>
      <c r="G97" s="7"/>
      <c r="H97" s="7"/>
      <c r="I97" s="7"/>
      <c r="J97" s="7"/>
      <c r="K97" s="7"/>
      <c r="L97" s="7"/>
      <c r="M97" s="7"/>
    </row>
    <row r="98" spans="1:13" x14ac:dyDescent="0.25">
      <c r="A98" s="7"/>
      <c r="B98" s="386" t="s">
        <v>252</v>
      </c>
      <c r="C98" s="216">
        <v>0</v>
      </c>
      <c r="D98" s="217">
        <v>390887120.39999998</v>
      </c>
      <c r="E98" s="223">
        <v>0</v>
      </c>
      <c r="F98" s="224">
        <v>327670.73681574239</v>
      </c>
      <c r="G98" s="7"/>
      <c r="H98" s="7"/>
      <c r="I98" s="7"/>
      <c r="J98" s="7"/>
      <c r="K98" s="7"/>
      <c r="L98" s="7"/>
      <c r="M98" s="7"/>
    </row>
    <row r="99" spans="1:13" x14ac:dyDescent="0.25">
      <c r="A99" s="7"/>
      <c r="B99" s="255" t="s">
        <v>933</v>
      </c>
      <c r="C99" s="216">
        <v>0</v>
      </c>
      <c r="D99" s="217">
        <v>185568958.40000001</v>
      </c>
      <c r="E99" s="223">
        <v>0</v>
      </c>
      <c r="F99" s="224">
        <v>158605.94735042736</v>
      </c>
      <c r="G99" s="7"/>
      <c r="H99" s="7"/>
      <c r="I99" s="7"/>
      <c r="J99" s="7"/>
      <c r="K99" s="7"/>
      <c r="L99" s="7"/>
      <c r="M99" s="7"/>
    </row>
    <row r="100" spans="1:13" x14ac:dyDescent="0.25">
      <c r="A100" s="7"/>
      <c r="B100" s="255" t="s">
        <v>962</v>
      </c>
      <c r="C100" s="216">
        <v>0</v>
      </c>
      <c r="D100" s="217">
        <v>124560310</v>
      </c>
      <c r="E100" s="223">
        <v>0</v>
      </c>
      <c r="F100" s="224">
        <v>106461.80341880342</v>
      </c>
      <c r="G100" s="7"/>
      <c r="H100" s="7"/>
      <c r="I100" s="7"/>
      <c r="J100" s="7"/>
      <c r="K100" s="7"/>
      <c r="L100" s="7"/>
      <c r="M100" s="7"/>
    </row>
    <row r="101" spans="1:13" x14ac:dyDescent="0.25">
      <c r="A101" s="7"/>
      <c r="B101" s="255" t="s">
        <v>1058</v>
      </c>
      <c r="C101" s="216">
        <v>0</v>
      </c>
      <c r="D101" s="217">
        <v>80757852</v>
      </c>
      <c r="E101" s="223">
        <v>0</v>
      </c>
      <c r="F101" s="224">
        <v>62602.986046511629</v>
      </c>
      <c r="G101" s="7"/>
      <c r="H101" s="7"/>
      <c r="I101" s="7"/>
      <c r="J101" s="7"/>
      <c r="K101" s="7"/>
      <c r="L101" s="7"/>
      <c r="M101" s="7"/>
    </row>
    <row r="102" spans="1:13" x14ac:dyDescent="0.25">
      <c r="A102" s="7"/>
      <c r="B102" s="386" t="s">
        <v>928</v>
      </c>
      <c r="C102" s="216">
        <v>187631678.95000002</v>
      </c>
      <c r="D102" s="217">
        <v>0</v>
      </c>
      <c r="E102" s="223">
        <v>162242.21917453891</v>
      </c>
      <c r="F102" s="224">
        <v>0</v>
      </c>
      <c r="G102" s="7"/>
      <c r="H102" s="7"/>
      <c r="I102" s="7"/>
      <c r="J102" s="7"/>
      <c r="K102" s="7"/>
      <c r="L102" s="7"/>
      <c r="M102" s="7"/>
    </row>
    <row r="103" spans="1:13" x14ac:dyDescent="0.25">
      <c r="A103" s="7"/>
      <c r="B103" s="255" t="s">
        <v>986</v>
      </c>
      <c r="C103" s="216">
        <v>83285264.400000006</v>
      </c>
      <c r="D103" s="217">
        <v>0</v>
      </c>
      <c r="E103" s="223">
        <v>73057.249473684205</v>
      </c>
      <c r="F103" s="224">
        <v>0</v>
      </c>
      <c r="G103" s="7"/>
      <c r="H103" s="7"/>
      <c r="I103" s="7"/>
      <c r="J103" s="7"/>
      <c r="K103" s="7"/>
      <c r="L103" s="7"/>
      <c r="M103" s="7"/>
    </row>
    <row r="104" spans="1:13" x14ac:dyDescent="0.25">
      <c r="A104" s="7"/>
      <c r="B104" s="255" t="s">
        <v>967</v>
      </c>
      <c r="C104" s="216">
        <v>25002223.5</v>
      </c>
      <c r="D104" s="217">
        <v>0</v>
      </c>
      <c r="E104" s="223">
        <v>21369.421794871796</v>
      </c>
      <c r="F104" s="224">
        <v>0</v>
      </c>
      <c r="G104" s="7"/>
      <c r="H104" s="7"/>
      <c r="I104" s="7"/>
      <c r="J104" s="7"/>
      <c r="K104" s="7"/>
      <c r="L104" s="7"/>
      <c r="M104" s="7"/>
    </row>
    <row r="105" spans="1:13" x14ac:dyDescent="0.25">
      <c r="A105" s="7"/>
      <c r="B105" s="255" t="s">
        <v>1019</v>
      </c>
      <c r="C105" s="216">
        <v>25002223.5</v>
      </c>
      <c r="D105" s="217">
        <v>0</v>
      </c>
      <c r="E105" s="223">
        <v>21369.421794871796</v>
      </c>
      <c r="F105" s="224">
        <v>0</v>
      </c>
      <c r="G105" s="7"/>
      <c r="H105" s="7"/>
      <c r="I105" s="7"/>
      <c r="J105" s="7"/>
      <c r="K105" s="7"/>
      <c r="L105" s="7"/>
      <c r="M105" s="7"/>
    </row>
    <row r="106" spans="1:13" x14ac:dyDescent="0.25">
      <c r="A106" s="7"/>
      <c r="B106" s="255" t="s">
        <v>1047</v>
      </c>
      <c r="C106" s="216">
        <v>30022519.050000001</v>
      </c>
      <c r="D106" s="217">
        <v>0</v>
      </c>
      <c r="E106" s="223">
        <v>25660.272692307692</v>
      </c>
      <c r="F106" s="224">
        <v>0</v>
      </c>
      <c r="G106" s="7"/>
      <c r="H106" s="7"/>
      <c r="I106" s="7"/>
      <c r="J106" s="7"/>
      <c r="K106" s="7"/>
      <c r="L106" s="7"/>
      <c r="M106" s="7"/>
    </row>
    <row r="107" spans="1:13" x14ac:dyDescent="0.25">
      <c r="A107" s="7"/>
      <c r="B107" s="255" t="s">
        <v>1048</v>
      </c>
      <c r="C107" s="216">
        <v>24319448.5</v>
      </c>
      <c r="D107" s="217">
        <v>0</v>
      </c>
      <c r="E107" s="223">
        <v>20785.853418803417</v>
      </c>
      <c r="F107" s="224">
        <v>0</v>
      </c>
      <c r="G107" s="7"/>
      <c r="H107" s="7"/>
      <c r="I107" s="7"/>
      <c r="J107" s="7"/>
      <c r="K107" s="7"/>
      <c r="L107" s="7"/>
      <c r="M107" s="7"/>
    </row>
    <row r="108" spans="1:13" x14ac:dyDescent="0.25">
      <c r="A108" s="7"/>
      <c r="B108" s="398" t="s">
        <v>223</v>
      </c>
      <c r="C108" s="294">
        <v>294800</v>
      </c>
      <c r="D108" s="295">
        <v>0</v>
      </c>
      <c r="E108" s="296">
        <v>256.72964462438148</v>
      </c>
      <c r="F108" s="297">
        <v>0</v>
      </c>
      <c r="G108" s="7"/>
      <c r="H108" s="7"/>
      <c r="I108" s="7"/>
      <c r="J108" s="7"/>
      <c r="K108" s="7"/>
      <c r="L108" s="7"/>
      <c r="M108" s="7"/>
    </row>
    <row r="109" spans="1:13" x14ac:dyDescent="0.25">
      <c r="A109" s="7"/>
      <c r="B109" s="386" t="s">
        <v>224</v>
      </c>
      <c r="C109" s="216">
        <v>143000</v>
      </c>
      <c r="D109" s="217">
        <v>0</v>
      </c>
      <c r="E109" s="223">
        <v>125.43859649122807</v>
      </c>
      <c r="F109" s="224">
        <v>0</v>
      </c>
      <c r="G109" s="7"/>
      <c r="H109" s="7"/>
      <c r="I109" s="7"/>
      <c r="J109" s="7"/>
      <c r="K109" s="7"/>
      <c r="L109" s="7"/>
      <c r="M109" s="7"/>
    </row>
    <row r="110" spans="1:13" x14ac:dyDescent="0.25">
      <c r="A110" s="7"/>
      <c r="B110" s="255" t="s">
        <v>582</v>
      </c>
      <c r="C110" s="216">
        <v>143000</v>
      </c>
      <c r="D110" s="217">
        <v>0</v>
      </c>
      <c r="E110" s="223">
        <v>125.43859649122807</v>
      </c>
      <c r="F110" s="224">
        <v>0</v>
      </c>
      <c r="G110" s="7"/>
      <c r="H110" s="7"/>
      <c r="I110" s="7"/>
      <c r="J110" s="7"/>
      <c r="K110" s="7"/>
      <c r="L110" s="7"/>
      <c r="M110" s="7"/>
    </row>
    <row r="111" spans="1:13" x14ac:dyDescent="0.25">
      <c r="A111" s="7"/>
      <c r="B111" s="386" t="s">
        <v>233</v>
      </c>
      <c r="C111" s="216">
        <v>90000</v>
      </c>
      <c r="D111" s="217">
        <v>0</v>
      </c>
      <c r="E111" s="223">
        <v>78.27260458839406</v>
      </c>
      <c r="F111" s="224">
        <v>0</v>
      </c>
      <c r="G111" s="7"/>
      <c r="H111" s="7"/>
      <c r="I111" s="7"/>
      <c r="J111" s="7"/>
      <c r="K111" s="7"/>
      <c r="L111" s="7"/>
      <c r="M111" s="7"/>
    </row>
    <row r="112" spans="1:13" x14ac:dyDescent="0.25">
      <c r="A112" s="7"/>
      <c r="B112" s="255" t="s">
        <v>234</v>
      </c>
      <c r="C112" s="216">
        <v>90000</v>
      </c>
      <c r="D112" s="217">
        <v>0</v>
      </c>
      <c r="E112" s="223">
        <v>78.27260458839406</v>
      </c>
      <c r="F112" s="224">
        <v>0</v>
      </c>
      <c r="G112" s="7"/>
      <c r="H112" s="7"/>
      <c r="I112" s="7"/>
      <c r="J112" s="7"/>
      <c r="K112" s="7"/>
      <c r="L112" s="7"/>
      <c r="M112" s="7"/>
    </row>
    <row r="113" spans="1:13" x14ac:dyDescent="0.25">
      <c r="A113" s="7"/>
      <c r="B113" s="392" t="s">
        <v>253</v>
      </c>
      <c r="C113" s="212">
        <v>53000</v>
      </c>
      <c r="D113" s="213">
        <v>0</v>
      </c>
      <c r="E113" s="344">
        <v>45.299145299145302</v>
      </c>
      <c r="F113" s="343">
        <v>0</v>
      </c>
      <c r="G113" s="7"/>
      <c r="H113" s="7"/>
      <c r="I113" s="7"/>
      <c r="J113" s="7"/>
      <c r="K113" s="7"/>
      <c r="L113" s="7"/>
      <c r="M113" s="7"/>
    </row>
    <row r="114" spans="1:13" x14ac:dyDescent="0.25">
      <c r="A114" s="7"/>
      <c r="B114" s="392" t="s">
        <v>241</v>
      </c>
      <c r="C114" s="212">
        <v>8800</v>
      </c>
      <c r="D114" s="213">
        <v>0</v>
      </c>
      <c r="E114" s="344">
        <v>7.7192982456140351</v>
      </c>
      <c r="F114" s="343">
        <v>0</v>
      </c>
      <c r="G114" s="7"/>
      <c r="H114" s="7"/>
      <c r="I114" s="7"/>
      <c r="J114" s="7"/>
      <c r="K114" s="7"/>
      <c r="L114" s="7"/>
      <c r="M114" s="7"/>
    </row>
    <row r="115" spans="1:13" x14ac:dyDescent="0.25">
      <c r="A115" s="7"/>
      <c r="B115" s="255" t="s">
        <v>1066</v>
      </c>
      <c r="C115" s="216">
        <v>8800</v>
      </c>
      <c r="D115" s="217">
        <v>0</v>
      </c>
      <c r="E115" s="223">
        <v>7.7192982456140351</v>
      </c>
      <c r="F115" s="224">
        <v>0</v>
      </c>
      <c r="G115" s="7"/>
      <c r="H115" s="7"/>
      <c r="I115" s="7"/>
      <c r="J115" s="7"/>
      <c r="K115" s="7"/>
      <c r="L115" s="7"/>
      <c r="M115" s="7"/>
    </row>
    <row r="116" spans="1:13" x14ac:dyDescent="0.25">
      <c r="A116" s="7"/>
      <c r="B116" s="219" t="s">
        <v>254</v>
      </c>
      <c r="C116" s="309">
        <v>929948816.15999997</v>
      </c>
      <c r="D116" s="310">
        <v>994997029.87</v>
      </c>
      <c r="E116" s="266">
        <v>799089.44332886639</v>
      </c>
      <c r="F116" s="267">
        <v>848823.26038669108</v>
      </c>
      <c r="G116" s="7"/>
      <c r="H116" s="7"/>
      <c r="I116" s="7"/>
      <c r="J116" s="7"/>
      <c r="K116" s="7"/>
      <c r="L116" s="7"/>
      <c r="M116" s="7"/>
    </row>
    <row r="117" spans="1:13" x14ac:dyDescent="0.25">
      <c r="A117" s="7"/>
      <c r="G117" s="7"/>
      <c r="H117" s="7"/>
      <c r="I117" s="7"/>
      <c r="J117" s="7"/>
      <c r="K117" s="7"/>
      <c r="L117" s="7"/>
      <c r="M117" s="7"/>
    </row>
    <row r="118" spans="1:13" x14ac:dyDescent="0.25">
      <c r="A118" s="7"/>
      <c r="G118" s="7"/>
      <c r="H118" s="7"/>
      <c r="I118" s="7"/>
      <c r="J118" s="7"/>
      <c r="K118" s="7"/>
      <c r="L118" s="7"/>
      <c r="M118" s="7"/>
    </row>
    <row r="119" spans="1:13" x14ac:dyDescent="0.25">
      <c r="A119" s="7"/>
      <c r="G119" s="7"/>
      <c r="H119" s="7"/>
      <c r="I119" s="7"/>
      <c r="J119" s="7"/>
      <c r="K119" s="7"/>
      <c r="L119" s="7"/>
      <c r="M119" s="7"/>
    </row>
    <row r="120" spans="1:13" x14ac:dyDescent="0.25">
      <c r="A120" s="7"/>
      <c r="G120" s="7"/>
      <c r="H120" s="7"/>
      <c r="I120" s="7"/>
      <c r="J120" s="7"/>
      <c r="K120" s="7"/>
      <c r="L120" s="7"/>
      <c r="M120" s="7"/>
    </row>
    <row r="121" spans="1:13" x14ac:dyDescent="0.25">
      <c r="A121" s="7"/>
      <c r="G121" s="7"/>
      <c r="H121" s="7"/>
      <c r="I121" s="7"/>
      <c r="J121" s="7"/>
      <c r="K121" s="7"/>
      <c r="L121" s="7"/>
      <c r="M121" s="7"/>
    </row>
    <row r="122" spans="1:13" x14ac:dyDescent="0.25">
      <c r="A122" s="7"/>
      <c r="G122" s="7"/>
      <c r="H122" s="7"/>
      <c r="I122" s="7"/>
      <c r="J122" s="7"/>
      <c r="K122" s="7"/>
      <c r="L122" s="7"/>
      <c r="M122" s="7"/>
    </row>
    <row r="123" spans="1:13" x14ac:dyDescent="0.25">
      <c r="A123" s="7"/>
      <c r="G123" s="7"/>
      <c r="H123" s="7"/>
      <c r="I123" s="7"/>
      <c r="J123" s="7"/>
      <c r="K123" s="7"/>
      <c r="L123" s="7"/>
      <c r="M123" s="7"/>
    </row>
    <row r="124" spans="1:13" x14ac:dyDescent="0.25">
      <c r="A124" s="7"/>
      <c r="G124" s="7"/>
      <c r="H124" s="7"/>
      <c r="I124" s="7"/>
      <c r="J124" s="7"/>
      <c r="K124" s="7"/>
      <c r="L124" s="7"/>
      <c r="M124" s="7"/>
    </row>
    <row r="125" spans="1:13" x14ac:dyDescent="0.25">
      <c r="A125" s="7"/>
      <c r="G125" s="7"/>
      <c r="H125" s="7"/>
      <c r="I125" s="7"/>
      <c r="J125" s="7"/>
      <c r="K125" s="7"/>
      <c r="L125" s="7"/>
      <c r="M125" s="7"/>
    </row>
    <row r="126" spans="1:13" x14ac:dyDescent="0.25">
      <c r="A126" s="7"/>
      <c r="G126" s="7"/>
      <c r="H126" s="7"/>
      <c r="I126" s="7"/>
      <c r="J126" s="7"/>
      <c r="K126" s="7"/>
      <c r="L126" s="7"/>
      <c r="M126" s="7"/>
    </row>
    <row r="127" spans="1:13" x14ac:dyDescent="0.25">
      <c r="A127" s="7"/>
      <c r="G127" s="7"/>
      <c r="H127" s="7"/>
      <c r="I127" s="7"/>
      <c r="J127" s="7"/>
      <c r="K127" s="7"/>
      <c r="L127" s="7"/>
      <c r="M127" s="7"/>
    </row>
    <row r="128" spans="1:13" x14ac:dyDescent="0.25">
      <c r="A128" s="7"/>
      <c r="G128" s="7"/>
      <c r="H128" s="7"/>
      <c r="I128" s="7"/>
      <c r="J128" s="7"/>
      <c r="K128" s="7"/>
      <c r="L128" s="7"/>
      <c r="M128" s="7"/>
    </row>
    <row r="129" spans="1:13" x14ac:dyDescent="0.25">
      <c r="A129" s="7"/>
      <c r="G129" s="7"/>
      <c r="H129" s="7"/>
      <c r="I129" s="7"/>
      <c r="J129" s="7"/>
      <c r="K129" s="7"/>
      <c r="L129" s="7"/>
      <c r="M129" s="7"/>
    </row>
    <row r="130" spans="1:13" x14ac:dyDescent="0.25">
      <c r="A130" s="7"/>
      <c r="G130" s="7"/>
      <c r="H130" s="7"/>
      <c r="I130" s="7"/>
      <c r="J130" s="7"/>
      <c r="K130" s="7"/>
      <c r="L130" s="7"/>
      <c r="M130" s="7"/>
    </row>
    <row r="131" spans="1:13" x14ac:dyDescent="0.25">
      <c r="A131" s="7"/>
      <c r="G131" s="7"/>
      <c r="H131" s="7"/>
      <c r="I131" s="7"/>
      <c r="J131" s="7"/>
      <c r="K131" s="7"/>
      <c r="L131" s="7"/>
      <c r="M131" s="7"/>
    </row>
    <row r="132" spans="1:13" x14ac:dyDescent="0.25">
      <c r="A132" s="7"/>
      <c r="G132" s="7"/>
      <c r="H132" s="7"/>
      <c r="I132" s="7"/>
      <c r="J132" s="7"/>
      <c r="K132" s="7"/>
      <c r="L132" s="7"/>
      <c r="M132" s="7"/>
    </row>
    <row r="133" spans="1:13" x14ac:dyDescent="0.25">
      <c r="A133" s="7"/>
      <c r="G133" s="7"/>
      <c r="H133" s="7"/>
      <c r="I133" s="7"/>
      <c r="J133" s="7"/>
      <c r="K133" s="7"/>
      <c r="L133" s="7"/>
      <c r="M133" s="7"/>
    </row>
    <row r="134" spans="1:13" x14ac:dyDescent="0.25">
      <c r="A134" s="7"/>
      <c r="G134" s="7"/>
      <c r="H134" s="7"/>
      <c r="I134" s="7"/>
      <c r="J134" s="7"/>
      <c r="K134" s="7"/>
      <c r="L134" s="7"/>
      <c r="M134" s="7"/>
    </row>
    <row r="135" spans="1:13" x14ac:dyDescent="0.25">
      <c r="A135" s="7"/>
      <c r="G135" s="7"/>
      <c r="H135" s="7"/>
      <c r="I135" s="7"/>
      <c r="J135" s="7"/>
      <c r="K135" s="7"/>
      <c r="L135" s="7"/>
      <c r="M135" s="7"/>
    </row>
    <row r="136" spans="1:13" x14ac:dyDescent="0.25">
      <c r="A136" s="7"/>
      <c r="G136" s="7"/>
      <c r="H136" s="7"/>
      <c r="I136" s="7"/>
      <c r="J136" s="7"/>
      <c r="K136" s="7"/>
      <c r="L136" s="7"/>
      <c r="M136" s="7"/>
    </row>
    <row r="137" spans="1:13" x14ac:dyDescent="0.25">
      <c r="A137" s="7"/>
      <c r="G137" s="7"/>
      <c r="H137" s="7"/>
      <c r="I137" s="7"/>
      <c r="J137" s="7"/>
      <c r="K137" s="7"/>
      <c r="L137" s="7"/>
      <c r="M137" s="7"/>
    </row>
    <row r="138" spans="1:13" x14ac:dyDescent="0.25">
      <c r="A138" s="7"/>
      <c r="G138" s="7"/>
      <c r="H138" s="7"/>
      <c r="I138" s="7"/>
      <c r="J138" s="7"/>
      <c r="K138" s="7"/>
      <c r="L138" s="7"/>
      <c r="M138" s="7"/>
    </row>
    <row r="139" spans="1:13" x14ac:dyDescent="0.25">
      <c r="A139" s="7"/>
      <c r="G139" s="7"/>
      <c r="H139" s="7"/>
      <c r="I139" s="7"/>
      <c r="J139" s="7"/>
      <c r="K139" s="7"/>
      <c r="L139" s="7"/>
      <c r="M139" s="7"/>
    </row>
    <row r="140" spans="1:13" x14ac:dyDescent="0.25">
      <c r="A140" s="7"/>
      <c r="G140" s="7"/>
      <c r="H140" s="7"/>
      <c r="I140" s="7"/>
      <c r="J140" s="7"/>
      <c r="K140" s="7"/>
      <c r="L140" s="7"/>
      <c r="M140" s="7"/>
    </row>
    <row r="141" spans="1:13" x14ac:dyDescent="0.25">
      <c r="A141" s="7"/>
      <c r="G141" s="7"/>
      <c r="H141" s="7"/>
      <c r="I141" s="7"/>
      <c r="J141" s="7"/>
      <c r="K141" s="7"/>
      <c r="L141" s="7"/>
      <c r="M141" s="7"/>
    </row>
    <row r="142" spans="1:13" x14ac:dyDescent="0.25">
      <c r="A142" s="7"/>
      <c r="G142" s="7"/>
      <c r="H142" s="7"/>
      <c r="I142" s="7"/>
      <c r="J142" s="7"/>
      <c r="K142" s="7"/>
      <c r="L142" s="7"/>
      <c r="M142" s="7"/>
    </row>
    <row r="143" spans="1:13" x14ac:dyDescent="0.25">
      <c r="A143" s="7"/>
      <c r="G143" s="7"/>
      <c r="H143" s="7"/>
      <c r="I143" s="7"/>
      <c r="J143" s="7"/>
      <c r="K143" s="7"/>
      <c r="L143" s="7"/>
      <c r="M143" s="7"/>
    </row>
    <row r="144" spans="1:13" x14ac:dyDescent="0.25">
      <c r="A144" s="7"/>
      <c r="G144" s="7"/>
      <c r="H144" s="7"/>
      <c r="I144" s="7"/>
      <c r="J144" s="7"/>
      <c r="K144" s="7"/>
      <c r="L144" s="7"/>
      <c r="M144" s="7"/>
    </row>
    <row r="145" spans="1:13" x14ac:dyDescent="0.25">
      <c r="A145" s="7"/>
      <c r="G145" s="7"/>
      <c r="H145" s="7"/>
      <c r="I145" s="7"/>
      <c r="J145" s="7"/>
      <c r="K145" s="7"/>
      <c r="L145" s="7"/>
      <c r="M145" s="7"/>
    </row>
    <row r="146" spans="1:13" x14ac:dyDescent="0.25">
      <c r="A146" s="7"/>
      <c r="G146" s="7"/>
      <c r="H146" s="7"/>
      <c r="I146" s="7"/>
      <c r="J146" s="7"/>
      <c r="K146" s="7"/>
      <c r="L146" s="7"/>
      <c r="M146" s="7"/>
    </row>
    <row r="147" spans="1:13" x14ac:dyDescent="0.25">
      <c r="A147" s="7"/>
      <c r="G147" s="7"/>
      <c r="H147" s="7"/>
      <c r="I147" s="7"/>
      <c r="J147" s="7"/>
      <c r="K147" s="7"/>
      <c r="L147" s="7"/>
      <c r="M147" s="7"/>
    </row>
    <row r="148" spans="1:13" x14ac:dyDescent="0.25">
      <c r="A148" s="7"/>
      <c r="G148" s="7"/>
      <c r="H148" s="7"/>
      <c r="I148" s="7"/>
      <c r="J148" s="7"/>
      <c r="K148" s="7"/>
      <c r="L148" s="7"/>
      <c r="M148" s="7"/>
    </row>
    <row r="149" spans="1:13" x14ac:dyDescent="0.25">
      <c r="A149" s="7"/>
      <c r="G149" s="7"/>
      <c r="H149" s="7"/>
      <c r="I149" s="7"/>
      <c r="J149" s="7"/>
      <c r="K149" s="7"/>
      <c r="L149" s="7"/>
      <c r="M149" s="7"/>
    </row>
    <row r="150" spans="1:13" x14ac:dyDescent="0.25">
      <c r="A150" s="7"/>
      <c r="G150" s="7"/>
      <c r="H150" s="7"/>
      <c r="I150" s="7"/>
      <c r="J150" s="7"/>
      <c r="K150" s="7"/>
      <c r="L150" s="7"/>
      <c r="M150" s="7"/>
    </row>
    <row r="151" spans="1:13" x14ac:dyDescent="0.25">
      <c r="A151" s="7"/>
      <c r="G151" s="7"/>
      <c r="H151" s="7"/>
      <c r="I151" s="7"/>
      <c r="J151" s="7"/>
      <c r="K151" s="7"/>
      <c r="L151" s="7"/>
      <c r="M151" s="7"/>
    </row>
    <row r="152" spans="1:13" x14ac:dyDescent="0.25">
      <c r="A152" s="7"/>
      <c r="G152" s="7"/>
      <c r="H152" s="7"/>
      <c r="I152" s="7"/>
      <c r="J152" s="7"/>
      <c r="K152" s="7"/>
      <c r="L152" s="7"/>
      <c r="M152" s="7"/>
    </row>
    <row r="153" spans="1:13" x14ac:dyDescent="0.25">
      <c r="A153" s="7"/>
      <c r="G153" s="7"/>
      <c r="H153" s="7"/>
      <c r="I153" s="7"/>
      <c r="J153" s="7"/>
      <c r="K153" s="7"/>
      <c r="L153" s="7"/>
      <c r="M153" s="7"/>
    </row>
    <row r="154" spans="1:13" x14ac:dyDescent="0.25">
      <c r="A154" s="7"/>
      <c r="G154" s="7"/>
      <c r="H154" s="7"/>
      <c r="I154" s="7"/>
      <c r="J154" s="7"/>
      <c r="K154" s="7"/>
      <c r="L154" s="7"/>
      <c r="M154" s="7"/>
    </row>
    <row r="155" spans="1:13" x14ac:dyDescent="0.25">
      <c r="A155" s="7"/>
      <c r="G155" s="7"/>
      <c r="H155" s="7"/>
      <c r="I155" s="7"/>
      <c r="J155" s="7"/>
      <c r="K155" s="7"/>
      <c r="L155" s="7"/>
      <c r="M155" s="7"/>
    </row>
    <row r="156" spans="1:13" x14ac:dyDescent="0.25">
      <c r="A156" s="7"/>
      <c r="G156" s="7"/>
      <c r="H156" s="7"/>
      <c r="I156" s="7"/>
      <c r="J156" s="7"/>
      <c r="K156" s="7"/>
      <c r="L156" s="7"/>
      <c r="M156" s="7"/>
    </row>
    <row r="157" spans="1:13" x14ac:dyDescent="0.25">
      <c r="A157" s="7"/>
      <c r="G157" s="7"/>
      <c r="H157" s="7"/>
      <c r="I157" s="7"/>
      <c r="J157" s="7"/>
      <c r="K157" s="7"/>
      <c r="L157" s="7"/>
      <c r="M157" s="7"/>
    </row>
    <row r="158" spans="1:13" x14ac:dyDescent="0.25">
      <c r="A158" s="7"/>
      <c r="G158" s="7"/>
      <c r="H158" s="7"/>
      <c r="I158" s="7"/>
      <c r="J158" s="7"/>
      <c r="K158" s="7"/>
      <c r="L158" s="7"/>
      <c r="M158" s="7"/>
    </row>
    <row r="159" spans="1:13" x14ac:dyDescent="0.25">
      <c r="A159" s="7"/>
      <c r="G159" s="7"/>
      <c r="H159" s="7"/>
      <c r="I159" s="7"/>
      <c r="J159" s="7"/>
      <c r="K159" s="7"/>
      <c r="L159" s="7"/>
      <c r="M159" s="7"/>
    </row>
    <row r="160" spans="1:13" x14ac:dyDescent="0.25">
      <c r="A160" s="7"/>
      <c r="G160" s="7"/>
      <c r="H160" s="7"/>
      <c r="I160" s="7"/>
      <c r="J160" s="7"/>
      <c r="K160" s="7"/>
      <c r="L160" s="7"/>
      <c r="M160" s="7"/>
    </row>
    <row r="161" spans="1:13" x14ac:dyDescent="0.25">
      <c r="A161" s="7"/>
      <c r="G161" s="7"/>
      <c r="H161" s="7"/>
      <c r="I161" s="7"/>
      <c r="J161" s="7"/>
      <c r="K161" s="7"/>
      <c r="L161" s="7"/>
      <c r="M161" s="7"/>
    </row>
    <row r="162" spans="1:13" x14ac:dyDescent="0.25">
      <c r="A162" s="7"/>
      <c r="G162" s="7"/>
      <c r="H162" s="7"/>
      <c r="I162" s="7"/>
      <c r="J162" s="7"/>
      <c r="K162" s="7"/>
      <c r="L162" s="7"/>
      <c r="M162" s="7"/>
    </row>
    <row r="163" spans="1:13" x14ac:dyDescent="0.25">
      <c r="A163" s="7"/>
      <c r="G163" s="7"/>
      <c r="H163" s="7"/>
      <c r="I163" s="7"/>
      <c r="J163" s="7"/>
      <c r="K163" s="7"/>
      <c r="L163" s="7"/>
      <c r="M163" s="7"/>
    </row>
    <row r="164" spans="1:13" x14ac:dyDescent="0.25">
      <c r="A164" s="7"/>
      <c r="G164" s="7"/>
      <c r="H164" s="7"/>
      <c r="I164" s="7"/>
      <c r="J164" s="7"/>
      <c r="K164" s="7"/>
      <c r="L164" s="7"/>
      <c r="M164" s="7"/>
    </row>
    <row r="165" spans="1:13" x14ac:dyDescent="0.25">
      <c r="A165" s="7"/>
      <c r="G165" s="7"/>
      <c r="H165" s="7"/>
      <c r="I165" s="7"/>
      <c r="J165" s="7"/>
      <c r="K165" s="7"/>
      <c r="L165" s="7"/>
      <c r="M165" s="7"/>
    </row>
    <row r="166" spans="1:13" x14ac:dyDescent="0.25">
      <c r="A166" s="7"/>
      <c r="G166" s="7"/>
      <c r="H166" s="7"/>
      <c r="I166" s="7"/>
      <c r="J166" s="7"/>
      <c r="K166" s="7"/>
      <c r="L166" s="7"/>
      <c r="M166" s="7"/>
    </row>
    <row r="167" spans="1:13" x14ac:dyDescent="0.25">
      <c r="A167" s="7"/>
      <c r="G167" s="7"/>
      <c r="H167" s="7"/>
      <c r="I167" s="7"/>
      <c r="J167" s="7"/>
      <c r="K167" s="7"/>
      <c r="L167" s="7"/>
      <c r="M167" s="7"/>
    </row>
    <row r="168" spans="1:13" x14ac:dyDescent="0.25">
      <c r="A168" s="7"/>
      <c r="G168" s="7"/>
      <c r="H168" s="7"/>
      <c r="I168" s="7"/>
      <c r="J168" s="7"/>
      <c r="K168" s="7"/>
      <c r="L168" s="7"/>
      <c r="M168" s="7"/>
    </row>
    <row r="169" spans="1:13" x14ac:dyDescent="0.25">
      <c r="A169" s="7"/>
      <c r="G169" s="7"/>
      <c r="H169" s="7"/>
      <c r="I169" s="7"/>
      <c r="J169" s="7"/>
      <c r="K169" s="7"/>
      <c r="L169" s="7"/>
      <c r="M169" s="7"/>
    </row>
    <row r="170" spans="1:13" x14ac:dyDescent="0.25">
      <c r="A170" s="7"/>
      <c r="G170" s="7"/>
      <c r="H170" s="7"/>
      <c r="I170" s="7"/>
      <c r="J170" s="7"/>
      <c r="K170" s="7"/>
      <c r="L170" s="7"/>
      <c r="M170" s="7"/>
    </row>
    <row r="171" spans="1:13" x14ac:dyDescent="0.25">
      <c r="A171" s="7"/>
      <c r="G171" s="7"/>
      <c r="H171" s="7"/>
      <c r="I171" s="7"/>
      <c r="J171" s="7"/>
      <c r="K171" s="7"/>
      <c r="L171" s="7"/>
      <c r="M171" s="7"/>
    </row>
    <row r="172" spans="1:13" x14ac:dyDescent="0.25">
      <c r="A172" s="7"/>
      <c r="G172" s="7"/>
      <c r="H172" s="7"/>
      <c r="I172" s="7"/>
      <c r="J172" s="7"/>
      <c r="K172" s="7"/>
      <c r="L172" s="7"/>
      <c r="M172" s="7"/>
    </row>
    <row r="173" spans="1:13" x14ac:dyDescent="0.25">
      <c r="A173" s="7"/>
      <c r="G173" s="7"/>
      <c r="H173" s="7"/>
      <c r="I173" s="7"/>
      <c r="J173" s="7"/>
      <c r="K173" s="7"/>
      <c r="L173" s="7"/>
      <c r="M173" s="7"/>
    </row>
    <row r="174" spans="1:13" x14ac:dyDescent="0.25">
      <c r="A174" s="7"/>
      <c r="G174" s="7"/>
      <c r="H174" s="7"/>
      <c r="I174" s="7"/>
      <c r="J174" s="7"/>
      <c r="K174" s="7"/>
      <c r="L174" s="7"/>
      <c r="M174" s="7"/>
    </row>
    <row r="175" spans="1:13" x14ac:dyDescent="0.25">
      <c r="A175" s="7"/>
      <c r="G175" s="7"/>
      <c r="H175" s="7"/>
      <c r="I175" s="7"/>
      <c r="J175" s="7"/>
      <c r="K175" s="7"/>
      <c r="L175" s="7"/>
      <c r="M175" s="7"/>
    </row>
    <row r="176" spans="1:13" x14ac:dyDescent="0.25">
      <c r="A176" s="7"/>
      <c r="G176" s="7"/>
      <c r="H176" s="7"/>
      <c r="I176" s="7"/>
      <c r="J176" s="7"/>
      <c r="K176" s="7"/>
      <c r="L176" s="7"/>
      <c r="M176" s="7"/>
    </row>
    <row r="177" spans="1:13" x14ac:dyDescent="0.25">
      <c r="A177" s="7"/>
      <c r="G177" s="7"/>
      <c r="H177" s="7"/>
      <c r="I177" s="7"/>
      <c r="J177" s="7"/>
      <c r="K177" s="7"/>
      <c r="L177" s="7"/>
      <c r="M177" s="7"/>
    </row>
    <row r="178" spans="1:13" x14ac:dyDescent="0.25">
      <c r="A178" s="7"/>
      <c r="G178" s="7"/>
      <c r="H178" s="7"/>
      <c r="I178" s="7"/>
      <c r="J178" s="7"/>
      <c r="K178" s="7"/>
      <c r="L178" s="7"/>
      <c r="M178" s="7"/>
    </row>
    <row r="179" spans="1:13" x14ac:dyDescent="0.25">
      <c r="A179" s="7"/>
      <c r="G179" s="7"/>
      <c r="H179" s="7"/>
      <c r="I179" s="7"/>
      <c r="J179" s="7"/>
      <c r="K179" s="7"/>
      <c r="L179" s="7"/>
      <c r="M179" s="7"/>
    </row>
    <row r="180" spans="1:13" x14ac:dyDescent="0.25">
      <c r="A180" s="7"/>
      <c r="G180" s="7"/>
      <c r="H180" s="7"/>
      <c r="I180" s="7"/>
      <c r="J180" s="7"/>
      <c r="K180" s="7"/>
      <c r="L180" s="7"/>
      <c r="M180" s="7"/>
    </row>
    <row r="181" spans="1:13" x14ac:dyDescent="0.25">
      <c r="A181" s="7"/>
      <c r="G181" s="7"/>
      <c r="H181" s="7"/>
      <c r="I181" s="7"/>
      <c r="J181" s="7"/>
      <c r="K181" s="7"/>
      <c r="L181" s="7"/>
      <c r="M181" s="7"/>
    </row>
    <row r="182" spans="1:13" x14ac:dyDescent="0.25">
      <c r="A182" s="7"/>
      <c r="G182" s="7"/>
      <c r="H182" s="7"/>
      <c r="I182" s="7"/>
      <c r="J182" s="119"/>
      <c r="K182" s="7"/>
      <c r="L182" s="7"/>
      <c r="M182" s="7"/>
    </row>
    <row r="183" spans="1:13" x14ac:dyDescent="0.25">
      <c r="A183" s="7"/>
      <c r="G183" s="7"/>
      <c r="H183" s="7"/>
      <c r="I183" s="7"/>
      <c r="J183" s="7"/>
      <c r="K183" s="7"/>
      <c r="L183" s="7"/>
      <c r="M183" s="7"/>
    </row>
    <row r="184" spans="1:13" x14ac:dyDescent="0.25">
      <c r="A184" s="7"/>
      <c r="G184" s="7"/>
      <c r="H184" s="7"/>
      <c r="I184" s="7"/>
      <c r="J184" s="7"/>
      <c r="K184" s="7"/>
      <c r="L184" s="7"/>
      <c r="M184" s="7"/>
    </row>
    <row r="185" spans="1:13" x14ac:dyDescent="0.25">
      <c r="A185" s="7"/>
      <c r="G185" s="7"/>
      <c r="H185" s="7"/>
      <c r="I185" s="7"/>
      <c r="J185" s="7"/>
      <c r="K185" s="7"/>
      <c r="L185" s="7"/>
      <c r="M185" s="7"/>
    </row>
    <row r="186" spans="1:13" x14ac:dyDescent="0.25">
      <c r="A186" s="7"/>
      <c r="G186" s="7"/>
      <c r="H186" s="7"/>
      <c r="I186" s="7"/>
      <c r="J186" s="7"/>
      <c r="K186" s="7"/>
      <c r="L186" s="7"/>
      <c r="M186" s="7"/>
    </row>
    <row r="187" spans="1:13" x14ac:dyDescent="0.25">
      <c r="A187" s="7"/>
      <c r="G187" s="7"/>
      <c r="H187" s="7"/>
      <c r="I187" s="7"/>
      <c r="J187" s="7"/>
      <c r="K187" s="7"/>
      <c r="L187" s="7"/>
      <c r="M187" s="7"/>
    </row>
    <row r="188" spans="1:13" x14ac:dyDescent="0.25">
      <c r="A188" s="7"/>
      <c r="G188" s="7"/>
      <c r="H188" s="7"/>
      <c r="I188" s="7"/>
      <c r="J188" s="7"/>
      <c r="K188" s="7"/>
      <c r="L188" s="7"/>
      <c r="M188" s="7"/>
    </row>
    <row r="189" spans="1:13" x14ac:dyDescent="0.25">
      <c r="A189" s="7"/>
      <c r="G189" s="7"/>
      <c r="H189" s="7"/>
      <c r="I189" s="7"/>
      <c r="J189" s="7"/>
      <c r="K189" s="7"/>
      <c r="L189" s="7"/>
      <c r="M189" s="7"/>
    </row>
    <row r="190" spans="1:13" x14ac:dyDescent="0.25">
      <c r="A190" s="7"/>
      <c r="G190" s="7"/>
      <c r="H190" s="7"/>
      <c r="I190" s="7"/>
      <c r="J190" s="7"/>
      <c r="K190" s="7"/>
      <c r="L190" s="7"/>
      <c r="M190" s="7"/>
    </row>
    <row r="191" spans="1:13" x14ac:dyDescent="0.25">
      <c r="A191" s="7"/>
      <c r="G191" s="7"/>
      <c r="H191" s="7"/>
      <c r="I191" s="7"/>
      <c r="J191" s="7"/>
      <c r="K191" s="7"/>
      <c r="L191" s="7"/>
      <c r="M191" s="7"/>
    </row>
    <row r="192" spans="1:13" x14ac:dyDescent="0.25">
      <c r="A192" s="7"/>
      <c r="G192" s="7"/>
      <c r="H192" s="7"/>
      <c r="I192" s="7"/>
      <c r="J192" s="7"/>
      <c r="K192" s="7"/>
      <c r="L192" s="7"/>
      <c r="M192" s="7"/>
    </row>
    <row r="193" spans="1:13" x14ac:dyDescent="0.25">
      <c r="A193" s="7"/>
      <c r="G193" s="7"/>
      <c r="H193" s="7"/>
      <c r="I193" s="7"/>
      <c r="J193" s="7"/>
      <c r="K193" s="7"/>
      <c r="L193" s="7"/>
      <c r="M193" s="7"/>
    </row>
    <row r="194" spans="1:13" x14ac:dyDescent="0.25">
      <c r="A194" s="7"/>
      <c r="G194" s="7"/>
      <c r="H194" s="7"/>
      <c r="I194" s="7"/>
      <c r="J194" s="7"/>
      <c r="K194" s="7"/>
      <c r="L194" s="7"/>
      <c r="M194" s="7"/>
    </row>
    <row r="195" spans="1:13" x14ac:dyDescent="0.25">
      <c r="A195" s="7"/>
      <c r="G195" s="7"/>
      <c r="H195" s="7"/>
      <c r="I195" s="7"/>
      <c r="J195" s="7"/>
      <c r="K195" s="7"/>
      <c r="L195" s="7"/>
      <c r="M195" s="7"/>
    </row>
    <row r="196" spans="1:13" x14ac:dyDescent="0.25">
      <c r="A196" s="7"/>
      <c r="G196" s="7"/>
      <c r="H196" s="7"/>
      <c r="I196" s="7"/>
      <c r="J196" s="7"/>
      <c r="K196" s="7"/>
      <c r="L196" s="7"/>
      <c r="M196" s="7"/>
    </row>
    <row r="197" spans="1:13" x14ac:dyDescent="0.25">
      <c r="A197" s="7"/>
      <c r="G197" s="7"/>
      <c r="H197" s="7"/>
      <c r="I197" s="7"/>
      <c r="J197" s="7"/>
      <c r="K197" s="7"/>
      <c r="L197" s="7"/>
      <c r="M197" s="7"/>
    </row>
    <row r="198" spans="1:13" x14ac:dyDescent="0.25">
      <c r="A198" s="7"/>
      <c r="G198" s="7"/>
      <c r="H198" s="7"/>
      <c r="I198" s="7"/>
      <c r="J198" s="7"/>
      <c r="K198" s="7"/>
      <c r="L198" s="7"/>
      <c r="M198" s="7"/>
    </row>
    <row r="199" spans="1:13" x14ac:dyDescent="0.25">
      <c r="A199" s="7"/>
      <c r="G199" s="7"/>
      <c r="H199" s="7"/>
      <c r="I199" s="7"/>
      <c r="J199" s="7"/>
      <c r="K199" s="7"/>
      <c r="L199" s="7"/>
      <c r="M199" s="7"/>
    </row>
    <row r="200" spans="1:13" x14ac:dyDescent="0.25">
      <c r="A200" s="7"/>
      <c r="G200" s="7"/>
      <c r="H200" s="7"/>
      <c r="I200" s="7"/>
      <c r="J200" s="7"/>
      <c r="K200" s="7"/>
      <c r="L200" s="7"/>
      <c r="M200" s="7"/>
    </row>
    <row r="201" spans="1:13" x14ac:dyDescent="0.25">
      <c r="A201" s="7"/>
      <c r="G201" s="7"/>
      <c r="H201" s="7"/>
      <c r="I201" s="7"/>
      <c r="J201" s="7"/>
      <c r="K201" s="7"/>
      <c r="L201" s="7"/>
      <c r="M201" s="7"/>
    </row>
    <row r="202" spans="1:13" x14ac:dyDescent="0.25">
      <c r="A202" s="7"/>
      <c r="G202" s="7"/>
      <c r="H202" s="7"/>
      <c r="I202" s="7"/>
      <c r="J202" s="7"/>
      <c r="K202" s="7"/>
      <c r="L202" s="7"/>
      <c r="M202" s="7"/>
    </row>
    <row r="203" spans="1:13" x14ac:dyDescent="0.25">
      <c r="A203" s="7"/>
      <c r="G203" s="7"/>
      <c r="H203" s="7"/>
      <c r="I203" s="7"/>
      <c r="J203" s="7"/>
      <c r="K203" s="7"/>
      <c r="L203" s="7"/>
      <c r="M203" s="7"/>
    </row>
    <row r="204" spans="1:13" x14ac:dyDescent="0.25">
      <c r="A204" s="7"/>
      <c r="G204" s="7"/>
      <c r="H204" s="7"/>
      <c r="I204" s="7"/>
      <c r="J204" s="7"/>
      <c r="K204" s="7"/>
      <c r="L204" s="7"/>
      <c r="M204" s="7"/>
    </row>
    <row r="205" spans="1:13" x14ac:dyDescent="0.25">
      <c r="A205" s="7"/>
      <c r="G205" s="7"/>
      <c r="H205" s="7"/>
      <c r="I205" s="7"/>
      <c r="J205" s="7"/>
      <c r="K205" s="7"/>
      <c r="L205" s="7"/>
      <c r="M205" s="7"/>
    </row>
    <row r="206" spans="1:13" x14ac:dyDescent="0.25">
      <c r="A206" s="7"/>
      <c r="G206" s="7"/>
      <c r="H206" s="7"/>
      <c r="I206" s="7"/>
      <c r="J206" s="7"/>
      <c r="K206" s="7"/>
      <c r="L206" s="7"/>
      <c r="M206" s="7"/>
    </row>
    <row r="207" spans="1:13" x14ac:dyDescent="0.25">
      <c r="A207" s="7"/>
      <c r="G207" s="7"/>
      <c r="H207" s="7"/>
      <c r="I207" s="7"/>
      <c r="J207" s="7"/>
      <c r="K207" s="7"/>
      <c r="L207" s="7"/>
      <c r="M207" s="7"/>
    </row>
    <row r="208" spans="1:13" x14ac:dyDescent="0.25">
      <c r="A208" s="7"/>
      <c r="G208" s="7"/>
      <c r="H208" s="7"/>
      <c r="I208" s="7"/>
      <c r="J208" s="7"/>
      <c r="K208" s="7"/>
      <c r="L208" s="7"/>
      <c r="M208" s="7"/>
    </row>
    <row r="209" spans="1:13" x14ac:dyDescent="0.25">
      <c r="A209" s="7"/>
      <c r="G209" s="7"/>
      <c r="H209" s="7"/>
      <c r="I209" s="7"/>
      <c r="J209" s="7"/>
      <c r="K209" s="7"/>
      <c r="L209" s="7"/>
      <c r="M209" s="7"/>
    </row>
    <row r="210" spans="1:13" x14ac:dyDescent="0.25">
      <c r="A210" s="7"/>
      <c r="G210" s="7"/>
      <c r="H210" s="7"/>
      <c r="I210" s="7"/>
      <c r="J210" s="7"/>
      <c r="K210" s="7"/>
      <c r="L210" s="7"/>
      <c r="M210" s="7"/>
    </row>
    <row r="211" spans="1:13" x14ac:dyDescent="0.25">
      <c r="A211" s="7"/>
      <c r="G211" s="7"/>
      <c r="H211" s="7"/>
      <c r="I211" s="7"/>
      <c r="J211" s="7"/>
      <c r="K211" s="7"/>
      <c r="L211" s="7"/>
      <c r="M211" s="7"/>
    </row>
    <row r="212" spans="1:13" x14ac:dyDescent="0.25">
      <c r="A212" s="7"/>
      <c r="G212" s="7"/>
      <c r="H212" s="7"/>
      <c r="I212" s="7"/>
      <c r="J212" s="7"/>
      <c r="K212" s="7"/>
      <c r="L212" s="7"/>
      <c r="M212" s="7"/>
    </row>
    <row r="213" spans="1:13" x14ac:dyDescent="0.25">
      <c r="A213" s="7"/>
      <c r="G213" s="7"/>
      <c r="H213" s="7"/>
      <c r="I213" s="7"/>
      <c r="J213" s="7"/>
      <c r="K213" s="7"/>
      <c r="L213" s="7"/>
      <c r="M213" s="7"/>
    </row>
    <row r="214" spans="1:13" x14ac:dyDescent="0.25">
      <c r="A214" s="7"/>
      <c r="G214" s="7"/>
      <c r="H214" s="7"/>
      <c r="I214" s="7"/>
      <c r="J214" s="7"/>
      <c r="K214" s="7"/>
      <c r="L214" s="7"/>
      <c r="M214" s="7"/>
    </row>
    <row r="215" spans="1:13" x14ac:dyDescent="0.25">
      <c r="A215" s="7"/>
      <c r="G215" s="7"/>
      <c r="H215" s="7"/>
      <c r="I215" s="7"/>
      <c r="J215" s="7"/>
      <c r="K215" s="7"/>
      <c r="L215" s="7"/>
      <c r="M215" s="7"/>
    </row>
    <row r="216" spans="1:13" x14ac:dyDescent="0.25">
      <c r="A216" s="7"/>
      <c r="G216" s="7"/>
      <c r="H216" s="7"/>
      <c r="I216" s="7"/>
      <c r="J216" s="7"/>
      <c r="K216" s="7"/>
      <c r="L216" s="7"/>
      <c r="M216" s="7"/>
    </row>
    <row r="217" spans="1:13" x14ac:dyDescent="0.25">
      <c r="A217" s="7"/>
      <c r="G217" s="7"/>
      <c r="H217" s="7"/>
      <c r="I217" s="7"/>
      <c r="J217" s="7"/>
      <c r="K217" s="7"/>
      <c r="L217" s="7"/>
      <c r="M217" s="7"/>
    </row>
    <row r="218" spans="1:13" x14ac:dyDescent="0.25">
      <c r="A218" s="7"/>
      <c r="G218" s="7"/>
      <c r="H218" s="7"/>
      <c r="I218" s="7"/>
      <c r="J218" s="7"/>
      <c r="K218" s="7"/>
      <c r="L218" s="7"/>
      <c r="M218" s="7"/>
    </row>
    <row r="219" spans="1:13" x14ac:dyDescent="0.25">
      <c r="A219" s="7"/>
      <c r="G219" s="7"/>
      <c r="H219" s="7"/>
      <c r="I219" s="7"/>
      <c r="J219" s="7"/>
      <c r="K219" s="7"/>
      <c r="L219" s="7"/>
      <c r="M219" s="7"/>
    </row>
    <row r="220" spans="1:13" x14ac:dyDescent="0.25">
      <c r="A220" s="7"/>
      <c r="G220" s="7"/>
      <c r="H220" s="7"/>
      <c r="I220" s="7"/>
      <c r="J220" s="7"/>
      <c r="K220" s="7"/>
      <c r="L220" s="7"/>
      <c r="M220" s="7"/>
    </row>
    <row r="221" spans="1:13" x14ac:dyDescent="0.25">
      <c r="A221" s="7"/>
      <c r="G221" s="7"/>
      <c r="H221" s="7"/>
      <c r="I221" s="7"/>
      <c r="J221" s="7"/>
      <c r="K221" s="7"/>
      <c r="L221" s="7"/>
      <c r="M221" s="7"/>
    </row>
    <row r="222" spans="1:13" x14ac:dyDescent="0.25">
      <c r="A222" s="7"/>
      <c r="G222" s="7"/>
      <c r="H222" s="7"/>
      <c r="I222" s="7"/>
      <c r="J222" s="7"/>
      <c r="K222" s="7"/>
      <c r="L222" s="7"/>
      <c r="M222" s="7"/>
    </row>
    <row r="223" spans="1:13" x14ac:dyDescent="0.25">
      <c r="A223" s="7"/>
      <c r="G223" s="7"/>
      <c r="H223" s="7"/>
      <c r="I223" s="7"/>
      <c r="J223" s="7"/>
      <c r="K223" s="7"/>
      <c r="L223" s="7"/>
      <c r="M223" s="7"/>
    </row>
    <row r="224" spans="1:13" x14ac:dyDescent="0.25">
      <c r="A224" s="7"/>
      <c r="G224" s="7"/>
      <c r="H224" s="7"/>
      <c r="I224" s="7"/>
      <c r="J224" s="7"/>
      <c r="K224" s="7"/>
      <c r="L224" s="7"/>
      <c r="M224" s="7"/>
    </row>
    <row r="225" spans="1:13" x14ac:dyDescent="0.25">
      <c r="A225" s="7"/>
      <c r="G225" s="7"/>
      <c r="H225" s="7"/>
      <c r="I225" s="7"/>
      <c r="J225" s="7"/>
      <c r="K225" s="7"/>
      <c r="L225" s="7"/>
      <c r="M225" s="7"/>
    </row>
    <row r="226" spans="1:13" x14ac:dyDescent="0.25">
      <c r="A226" s="7"/>
      <c r="G226" s="7"/>
      <c r="H226" s="7"/>
      <c r="I226" s="7"/>
      <c r="J226" s="7"/>
      <c r="K226" s="7"/>
      <c r="L226" s="7"/>
      <c r="M226" s="7"/>
    </row>
    <row r="227" spans="1:13" x14ac:dyDescent="0.25">
      <c r="A227" s="7"/>
      <c r="G227" s="7"/>
      <c r="H227" s="7"/>
      <c r="I227" s="7"/>
      <c r="J227" s="7"/>
      <c r="K227" s="7"/>
      <c r="L227" s="7"/>
      <c r="M227" s="7"/>
    </row>
    <row r="228" spans="1:13" x14ac:dyDescent="0.25">
      <c r="A228" s="7"/>
      <c r="G228" s="7"/>
      <c r="H228" s="7"/>
      <c r="I228" s="7"/>
      <c r="J228" s="7"/>
      <c r="K228" s="7"/>
      <c r="L228" s="7"/>
      <c r="M228" s="7"/>
    </row>
    <row r="229" spans="1:13" x14ac:dyDescent="0.25">
      <c r="A229" s="7"/>
      <c r="G229" s="7"/>
      <c r="H229" s="7"/>
      <c r="I229" s="7"/>
      <c r="J229" s="7"/>
      <c r="K229" s="7"/>
      <c r="L229" s="7"/>
      <c r="M229" s="7"/>
    </row>
    <row r="230" spans="1:13" x14ac:dyDescent="0.25">
      <c r="A230" s="7"/>
      <c r="G230" s="7"/>
      <c r="H230" s="7"/>
      <c r="I230" s="7"/>
      <c r="J230" s="7"/>
      <c r="K230" s="7"/>
      <c r="L230" s="7"/>
      <c r="M230" s="7"/>
    </row>
    <row r="231" spans="1:13" x14ac:dyDescent="0.25">
      <c r="A231" s="7"/>
      <c r="G231" s="7"/>
      <c r="H231" s="7"/>
      <c r="I231" s="7"/>
      <c r="J231" s="7"/>
      <c r="K231" s="7"/>
      <c r="L231" s="7"/>
      <c r="M231" s="7"/>
    </row>
    <row r="232" spans="1:13" x14ac:dyDescent="0.25">
      <c r="A232" s="7"/>
      <c r="G232" s="7"/>
      <c r="H232" s="7"/>
      <c r="I232" s="7"/>
      <c r="J232" s="7"/>
      <c r="K232" s="7"/>
      <c r="L232" s="7"/>
      <c r="M232" s="7"/>
    </row>
    <row r="233" spans="1:13" x14ac:dyDescent="0.25">
      <c r="A233" s="7"/>
      <c r="G233" s="7"/>
      <c r="H233" s="7"/>
      <c r="I233" s="7"/>
      <c r="J233" s="7"/>
      <c r="K233" s="7"/>
      <c r="L233" s="7"/>
      <c r="M233" s="7"/>
    </row>
    <row r="234" spans="1:13" x14ac:dyDescent="0.25">
      <c r="A234" s="7"/>
      <c r="G234" s="7"/>
      <c r="H234" s="7"/>
      <c r="I234" s="7"/>
      <c r="J234" s="7"/>
      <c r="K234" s="7"/>
      <c r="L234" s="7"/>
      <c r="M234" s="7"/>
    </row>
    <row r="235" spans="1:13" x14ac:dyDescent="0.25">
      <c r="A235" s="7"/>
      <c r="G235" s="7"/>
      <c r="H235" s="7"/>
      <c r="I235" s="7"/>
      <c r="J235" s="7"/>
      <c r="K235" s="7"/>
      <c r="L235" s="7"/>
      <c r="M235" s="7"/>
    </row>
    <row r="236" spans="1:13" x14ac:dyDescent="0.25">
      <c r="A236" s="7"/>
      <c r="G236" s="7"/>
      <c r="H236" s="7"/>
      <c r="I236" s="7"/>
      <c r="J236" s="7"/>
      <c r="K236" s="7"/>
      <c r="L236" s="7"/>
      <c r="M236" s="7"/>
    </row>
    <row r="237" spans="1:13" x14ac:dyDescent="0.25">
      <c r="A237" s="7"/>
      <c r="G237" s="7"/>
      <c r="H237" s="7"/>
      <c r="I237" s="7"/>
      <c r="J237" s="7"/>
      <c r="K237" s="7"/>
      <c r="L237" s="7"/>
      <c r="M237" s="7"/>
    </row>
    <row r="238" spans="1:13" x14ac:dyDescent="0.25">
      <c r="A238" s="7"/>
      <c r="G238" s="7"/>
      <c r="H238" s="7"/>
      <c r="I238" s="7"/>
      <c r="J238" s="7"/>
      <c r="K238" s="7"/>
      <c r="L238" s="7"/>
      <c r="M238" s="7"/>
    </row>
    <row r="239" spans="1:13" x14ac:dyDescent="0.25">
      <c r="A239" s="7"/>
      <c r="G239" s="7"/>
      <c r="H239" s="7"/>
      <c r="I239" s="7"/>
      <c r="J239" s="7"/>
      <c r="K239" s="7"/>
      <c r="L239" s="7"/>
      <c r="M239" s="7"/>
    </row>
    <row r="240" spans="1:13" x14ac:dyDescent="0.25">
      <c r="A240" s="7"/>
      <c r="G240" s="7"/>
      <c r="H240" s="7"/>
      <c r="I240" s="7"/>
      <c r="J240" s="7"/>
      <c r="K240" s="7"/>
      <c r="L240" s="7"/>
      <c r="M240" s="7"/>
    </row>
    <row r="241" spans="1:13" x14ac:dyDescent="0.25">
      <c r="A241" s="7"/>
      <c r="G241" s="7"/>
      <c r="H241" s="7"/>
      <c r="I241" s="7"/>
      <c r="J241" s="7"/>
      <c r="K241" s="7"/>
      <c r="L241" s="7"/>
      <c r="M241" s="7"/>
    </row>
    <row r="242" spans="1:13" x14ac:dyDescent="0.25">
      <c r="A242" s="7"/>
      <c r="G242" s="7"/>
      <c r="H242" s="7"/>
      <c r="I242" s="7"/>
      <c r="J242" s="7"/>
      <c r="K242" s="7"/>
      <c r="L242" s="7"/>
      <c r="M242" s="7"/>
    </row>
    <row r="243" spans="1:13" x14ac:dyDescent="0.25">
      <c r="A243" s="7"/>
      <c r="G243" s="7"/>
      <c r="H243" s="7"/>
      <c r="I243" s="7"/>
      <c r="J243" s="7"/>
      <c r="K243" s="7"/>
      <c r="L243" s="7"/>
      <c r="M243" s="7"/>
    </row>
    <row r="244" spans="1:13" x14ac:dyDescent="0.25">
      <c r="A244" s="7"/>
      <c r="G244" s="7"/>
      <c r="H244" s="7"/>
      <c r="I244" s="7"/>
      <c r="J244" s="7"/>
      <c r="K244" s="7"/>
      <c r="L244" s="7"/>
      <c r="M244" s="7"/>
    </row>
    <row r="245" spans="1:13" x14ac:dyDescent="0.25">
      <c r="A245" s="7"/>
      <c r="G245" s="7"/>
      <c r="H245" s="7"/>
      <c r="I245" s="7"/>
      <c r="J245" s="7"/>
      <c r="K245" s="7"/>
      <c r="L245" s="7"/>
      <c r="M245" s="7"/>
    </row>
    <row r="246" spans="1:13" x14ac:dyDescent="0.25">
      <c r="A246" s="7"/>
      <c r="G246" s="7"/>
      <c r="H246" s="7"/>
      <c r="I246" s="7"/>
      <c r="J246" s="7"/>
      <c r="K246" s="7"/>
      <c r="L246" s="7"/>
      <c r="M246" s="7"/>
    </row>
    <row r="247" spans="1:13" x14ac:dyDescent="0.25">
      <c r="A247" s="7"/>
      <c r="G247" s="7"/>
      <c r="H247" s="7"/>
      <c r="I247" s="7"/>
      <c r="J247" s="7"/>
      <c r="K247" s="7"/>
      <c r="L247" s="7"/>
      <c r="M247" s="7"/>
    </row>
    <row r="248" spans="1:13" x14ac:dyDescent="0.25">
      <c r="A248" s="7"/>
      <c r="G248" s="7"/>
      <c r="H248" s="7"/>
      <c r="I248" s="7"/>
      <c r="J248" s="7"/>
      <c r="K248" s="7"/>
      <c r="L248" s="7"/>
      <c r="M248" s="7"/>
    </row>
    <row r="249" spans="1:13" x14ac:dyDescent="0.25">
      <c r="A249" s="7"/>
      <c r="G249" s="7"/>
      <c r="H249" s="7"/>
      <c r="I249" s="7"/>
      <c r="J249" s="7"/>
      <c r="K249" s="7"/>
      <c r="L249" s="7"/>
      <c r="M249" s="7"/>
    </row>
    <row r="250" spans="1:13" x14ac:dyDescent="0.25">
      <c r="A250" s="7"/>
      <c r="G250" s="7"/>
      <c r="H250" s="7"/>
      <c r="I250" s="7"/>
      <c r="J250" s="7"/>
      <c r="K250" s="7"/>
      <c r="L250" s="7"/>
      <c r="M250" s="7"/>
    </row>
    <row r="251" spans="1:13" x14ac:dyDescent="0.25">
      <c r="A251" s="7"/>
      <c r="G251" s="7"/>
      <c r="H251" s="7"/>
      <c r="I251" s="7"/>
      <c r="J251" s="7"/>
      <c r="K251" s="7"/>
      <c r="L251" s="7"/>
      <c r="M251" s="7"/>
    </row>
    <row r="252" spans="1:13" x14ac:dyDescent="0.25">
      <c r="A252" s="7"/>
      <c r="G252" s="7"/>
      <c r="H252" s="7"/>
      <c r="I252" s="7"/>
      <c r="J252" s="7"/>
      <c r="K252" s="7"/>
      <c r="L252" s="7"/>
      <c r="M252" s="7"/>
    </row>
    <row r="253" spans="1:13" x14ac:dyDescent="0.25">
      <c r="A253" s="7"/>
      <c r="G253" s="7"/>
      <c r="H253" s="7"/>
      <c r="I253" s="7"/>
      <c r="J253" s="7"/>
      <c r="K253" s="7"/>
      <c r="L253" s="7"/>
      <c r="M253" s="7"/>
    </row>
    <row r="254" spans="1:13" x14ac:dyDescent="0.25">
      <c r="A254" s="7"/>
      <c r="G254" s="7"/>
      <c r="H254" s="7"/>
      <c r="I254" s="7"/>
      <c r="J254" s="7"/>
      <c r="K254" s="7"/>
      <c r="L254" s="7"/>
      <c r="M254" s="7"/>
    </row>
    <row r="255" spans="1:13" x14ac:dyDescent="0.25">
      <c r="A255" s="7"/>
      <c r="G255" s="7"/>
      <c r="H255" s="7"/>
      <c r="I255" s="7"/>
      <c r="J255" s="7"/>
      <c r="K255" s="7"/>
      <c r="L255" s="7"/>
      <c r="M255" s="7"/>
    </row>
    <row r="256" spans="1:13" x14ac:dyDescent="0.25">
      <c r="A256" s="7"/>
      <c r="G256" s="7"/>
      <c r="H256" s="7"/>
      <c r="I256" s="7"/>
      <c r="J256" s="7"/>
      <c r="K256" s="7"/>
      <c r="L256" s="7"/>
      <c r="M256" s="7"/>
    </row>
    <row r="257" spans="1:13" x14ac:dyDescent="0.25">
      <c r="A257" s="7"/>
      <c r="G257" s="7"/>
      <c r="H257" s="7"/>
      <c r="I257" s="7"/>
      <c r="J257" s="7"/>
      <c r="K257" s="7"/>
      <c r="L257" s="7"/>
      <c r="M257" s="7"/>
    </row>
    <row r="258" spans="1:13" x14ac:dyDescent="0.25">
      <c r="A258" s="7"/>
      <c r="G258" s="7"/>
      <c r="H258" s="7"/>
      <c r="I258" s="7"/>
      <c r="J258" s="7"/>
      <c r="K258" s="7"/>
      <c r="L258" s="7"/>
      <c r="M258" s="7"/>
    </row>
    <row r="259" spans="1:13" x14ac:dyDescent="0.25">
      <c r="A259" s="7"/>
      <c r="G259" s="7"/>
      <c r="H259" s="7"/>
      <c r="I259" s="7"/>
      <c r="J259" s="7"/>
      <c r="K259" s="7"/>
      <c r="L259" s="7"/>
      <c r="M259" s="7"/>
    </row>
    <row r="260" spans="1:13" x14ac:dyDescent="0.25">
      <c r="A260" s="7"/>
      <c r="G260" s="7"/>
      <c r="H260" s="7"/>
      <c r="I260" s="7"/>
      <c r="J260" s="7"/>
      <c r="K260" s="7"/>
      <c r="L260" s="7"/>
      <c r="M260" s="7"/>
    </row>
    <row r="261" spans="1:13" x14ac:dyDescent="0.25">
      <c r="A261" s="7"/>
      <c r="G261" s="7"/>
      <c r="H261" s="7"/>
      <c r="I261" s="7"/>
      <c r="J261" s="7"/>
      <c r="K261" s="7"/>
      <c r="L261" s="7"/>
      <c r="M261" s="7"/>
    </row>
    <row r="262" spans="1:13" x14ac:dyDescent="0.25">
      <c r="A262" s="7"/>
      <c r="G262" s="7"/>
      <c r="H262" s="7"/>
      <c r="I262" s="7"/>
      <c r="J262" s="7"/>
      <c r="K262" s="7"/>
      <c r="L262" s="7"/>
      <c r="M262" s="7"/>
    </row>
    <row r="263" spans="1:13" x14ac:dyDescent="0.25">
      <c r="A263" s="7"/>
      <c r="G263" s="7"/>
      <c r="H263" s="7"/>
      <c r="I263" s="7"/>
      <c r="J263" s="7"/>
      <c r="K263" s="7"/>
      <c r="L263" s="7"/>
      <c r="M263" s="7"/>
    </row>
    <row r="264" spans="1:13" x14ac:dyDescent="0.25">
      <c r="A264" s="7"/>
      <c r="G264" s="7"/>
      <c r="H264" s="7"/>
      <c r="I264" s="7"/>
      <c r="J264" s="7"/>
      <c r="K264" s="7"/>
      <c r="L264" s="7"/>
      <c r="M264" s="7"/>
    </row>
    <row r="265" spans="1:13" x14ac:dyDescent="0.25">
      <c r="A265" s="7"/>
      <c r="G265" s="7"/>
      <c r="H265" s="7"/>
      <c r="I265" s="7"/>
      <c r="J265" s="7"/>
      <c r="K265" s="7"/>
      <c r="L265" s="7"/>
      <c r="M265" s="7"/>
    </row>
    <row r="266" spans="1:13" x14ac:dyDescent="0.25">
      <c r="A266" s="7"/>
      <c r="G266" s="7"/>
      <c r="H266" s="7"/>
      <c r="I266" s="7"/>
      <c r="J266" s="7"/>
      <c r="K266" s="7"/>
      <c r="L266" s="7"/>
      <c r="M266" s="7"/>
    </row>
    <row r="267" spans="1:13" x14ac:dyDescent="0.25">
      <c r="A267" s="7"/>
      <c r="G267" s="7"/>
      <c r="H267" s="7"/>
      <c r="I267" s="7"/>
      <c r="J267" s="7"/>
      <c r="K267" s="7"/>
      <c r="L267" s="7"/>
      <c r="M267" s="7"/>
    </row>
    <row r="268" spans="1:13" x14ac:dyDescent="0.25">
      <c r="A268" s="7"/>
      <c r="G268" s="7"/>
      <c r="H268" s="7"/>
      <c r="I268" s="7"/>
      <c r="J268" s="7"/>
      <c r="K268" s="7"/>
      <c r="L268" s="7"/>
      <c r="M268" s="7"/>
    </row>
    <row r="269" spans="1:13" x14ac:dyDescent="0.25">
      <c r="A269" s="7"/>
      <c r="G269" s="7"/>
      <c r="H269" s="7"/>
      <c r="I269" s="7"/>
      <c r="J269" s="7"/>
      <c r="K269" s="7"/>
      <c r="L269" s="7"/>
      <c r="M269" s="7"/>
    </row>
    <row r="270" spans="1:13" x14ac:dyDescent="0.25">
      <c r="A270" s="7"/>
      <c r="G270" s="7"/>
      <c r="H270" s="7"/>
      <c r="I270" s="7"/>
      <c r="J270" s="7"/>
      <c r="K270" s="7"/>
      <c r="L270" s="7"/>
      <c r="M270" s="7"/>
    </row>
    <row r="271" spans="1:13" x14ac:dyDescent="0.25">
      <c r="A271" s="7"/>
      <c r="G271" s="7"/>
      <c r="H271" s="7"/>
      <c r="I271" s="7"/>
      <c r="J271" s="7"/>
      <c r="K271" s="7"/>
      <c r="L271" s="7"/>
      <c r="M271" s="7"/>
    </row>
    <row r="272" spans="1:13" x14ac:dyDescent="0.25">
      <c r="A272" s="7"/>
      <c r="G272" s="7"/>
      <c r="H272" s="7"/>
      <c r="I272" s="7"/>
      <c r="J272" s="7"/>
      <c r="K272" s="7"/>
      <c r="L272" s="7"/>
      <c r="M272" s="7"/>
    </row>
    <row r="273" spans="1:13" x14ac:dyDescent="0.25">
      <c r="A273" s="7"/>
      <c r="G273" s="7"/>
      <c r="H273" s="7"/>
      <c r="I273" s="7"/>
      <c r="J273" s="7"/>
      <c r="K273" s="7"/>
      <c r="L273" s="7"/>
      <c r="M273" s="7"/>
    </row>
    <row r="274" spans="1:13" x14ac:dyDescent="0.25">
      <c r="A274" s="7"/>
      <c r="G274" s="7"/>
      <c r="H274" s="7"/>
      <c r="I274" s="7"/>
      <c r="J274" s="7"/>
      <c r="K274" s="7"/>
      <c r="L274" s="7"/>
      <c r="M274" s="7"/>
    </row>
    <row r="275" spans="1:13" x14ac:dyDescent="0.25">
      <c r="A275" s="7"/>
      <c r="G275" s="7"/>
      <c r="H275" s="7"/>
      <c r="I275" s="7"/>
      <c r="J275" s="7"/>
      <c r="K275" s="7"/>
      <c r="L275" s="7"/>
      <c r="M275" s="7"/>
    </row>
    <row r="276" spans="1:13" x14ac:dyDescent="0.25">
      <c r="A276" s="7"/>
      <c r="G276" s="7"/>
      <c r="H276" s="7"/>
      <c r="I276" s="7"/>
      <c r="J276" s="7"/>
      <c r="K276" s="7"/>
      <c r="L276" s="7"/>
      <c r="M276" s="7"/>
    </row>
    <row r="277" spans="1:13" x14ac:dyDescent="0.25">
      <c r="A277" s="7"/>
      <c r="G277" s="7"/>
      <c r="H277" s="7"/>
      <c r="I277" s="7"/>
      <c r="J277" s="7"/>
      <c r="K277" s="7"/>
      <c r="L277" s="7"/>
      <c r="M277" s="7"/>
    </row>
  </sheetData>
  <pageMargins left="0.25" right="0.25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22882-3F4F-4995-971B-907230BC5A32}">
  <sheetPr codeName="Hoja4">
    <tabColor theme="0" tint="-0.14999847407452621"/>
  </sheetPr>
  <dimension ref="A1:U108"/>
  <sheetViews>
    <sheetView workbookViewId="0">
      <selection activeCell="I113" sqref="I113"/>
    </sheetView>
  </sheetViews>
  <sheetFormatPr baseColWidth="10" defaultColWidth="11.42578125" defaultRowHeight="15" x14ac:dyDescent="0.25"/>
  <cols>
    <col min="1" max="1" width="1.140625" customWidth="1"/>
    <col min="2" max="2" width="37.5703125" bestFit="1" customWidth="1"/>
    <col min="3" max="3" width="22.42578125" bestFit="1" customWidth="1"/>
    <col min="4" max="4" width="16.7109375" bestFit="1" customWidth="1"/>
    <col min="5" max="5" width="15.5703125" bestFit="1" customWidth="1"/>
    <col min="6" max="7" width="16.7109375" bestFit="1" customWidth="1"/>
    <col min="8" max="8" width="13" bestFit="1" customWidth="1"/>
    <col min="9" max="9" width="16.7109375" bestFit="1" customWidth="1"/>
    <col min="10" max="12" width="2.7109375" customWidth="1"/>
    <col min="13" max="13" width="37.5703125" bestFit="1" customWidth="1"/>
    <col min="14" max="14" width="22.42578125" bestFit="1" customWidth="1"/>
    <col min="15" max="15" width="16.7109375" bestFit="1" customWidth="1"/>
    <col min="16" max="16" width="12.5703125" bestFit="1" customWidth="1"/>
    <col min="17" max="18" width="16.7109375" bestFit="1" customWidth="1"/>
    <col min="19" max="19" width="7" bestFit="1" customWidth="1"/>
    <col min="20" max="21" width="16.7109375" bestFit="1" customWidth="1"/>
  </cols>
  <sheetData>
    <row r="1" spans="1:21" ht="18.75" x14ac:dyDescent="0.3">
      <c r="A1" s="7"/>
      <c r="B1" s="204" t="s">
        <v>255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x14ac:dyDescent="0.25">
      <c r="A2" s="7"/>
      <c r="B2" s="293" t="s">
        <v>922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x14ac:dyDescent="0.25">
      <c r="A3" s="7"/>
      <c r="B3" s="289" t="s">
        <v>179</v>
      </c>
      <c r="C3" s="205" t="s">
        <v>256</v>
      </c>
      <c r="D3" s="206"/>
      <c r="E3" s="206"/>
      <c r="F3" s="206"/>
      <c r="G3" s="206"/>
      <c r="H3" s="206"/>
      <c r="I3" s="207"/>
      <c r="J3" s="7"/>
      <c r="K3" s="7"/>
      <c r="L3" s="7"/>
      <c r="M3" s="288" t="s">
        <v>180</v>
      </c>
      <c r="N3" s="205" t="s">
        <v>256</v>
      </c>
      <c r="O3" s="206"/>
      <c r="P3" s="206"/>
      <c r="Q3" s="206"/>
      <c r="R3" s="206"/>
      <c r="S3" s="206"/>
      <c r="T3" s="207"/>
    </row>
    <row r="4" spans="1:21" x14ac:dyDescent="0.25">
      <c r="A4" s="7"/>
      <c r="B4" s="205" t="s">
        <v>178</v>
      </c>
      <c r="C4" s="208" t="s">
        <v>184</v>
      </c>
      <c r="D4" s="209" t="s">
        <v>197</v>
      </c>
      <c r="E4" s="209" t="s">
        <v>204</v>
      </c>
      <c r="F4" s="209" t="s">
        <v>214</v>
      </c>
      <c r="G4" s="209" t="s">
        <v>219</v>
      </c>
      <c r="H4" s="209" t="s">
        <v>223</v>
      </c>
      <c r="I4" s="210" t="s">
        <v>254</v>
      </c>
      <c r="J4" s="7"/>
      <c r="K4" s="7"/>
      <c r="L4" s="7"/>
      <c r="M4" s="205" t="s">
        <v>178</v>
      </c>
      <c r="N4" s="208" t="s">
        <v>184</v>
      </c>
      <c r="O4" s="209" t="s">
        <v>197</v>
      </c>
      <c r="P4" s="209" t="s">
        <v>204</v>
      </c>
      <c r="Q4" s="209" t="s">
        <v>214</v>
      </c>
      <c r="R4" s="209" t="s">
        <v>219</v>
      </c>
      <c r="S4" s="209" t="s">
        <v>223</v>
      </c>
      <c r="T4" s="210" t="s">
        <v>254</v>
      </c>
    </row>
    <row r="5" spans="1:21" x14ac:dyDescent="0.25">
      <c r="A5" s="7"/>
      <c r="B5" s="211" t="s">
        <v>183</v>
      </c>
      <c r="C5" s="350">
        <v>6844352.8899999987</v>
      </c>
      <c r="D5" s="351">
        <v>11324992</v>
      </c>
      <c r="E5" s="351">
        <v>6372037.5099999998</v>
      </c>
      <c r="F5" s="351">
        <v>24340191.109999999</v>
      </c>
      <c r="G5" s="351">
        <v>1436637</v>
      </c>
      <c r="H5" s="351">
        <v>143000</v>
      </c>
      <c r="I5" s="214">
        <v>50461210.509999998</v>
      </c>
      <c r="J5" s="7"/>
      <c r="K5" s="7"/>
      <c r="L5" s="7"/>
      <c r="M5" s="211" t="s">
        <v>183</v>
      </c>
      <c r="N5" s="212">
        <v>0</v>
      </c>
      <c r="O5" s="213">
        <v>0</v>
      </c>
      <c r="P5" s="213">
        <v>0</v>
      </c>
      <c r="Q5" s="213">
        <v>48272759.469999999</v>
      </c>
      <c r="R5" s="213">
        <v>0</v>
      </c>
      <c r="S5" s="213">
        <v>0</v>
      </c>
      <c r="T5" s="214">
        <v>48272759.469999999</v>
      </c>
    </row>
    <row r="6" spans="1:21" x14ac:dyDescent="0.25">
      <c r="A6" s="7"/>
      <c r="B6" s="386" t="s">
        <v>257</v>
      </c>
      <c r="C6" s="216"/>
      <c r="D6" s="217">
        <v>3724992</v>
      </c>
      <c r="E6" s="217">
        <v>3795142.17</v>
      </c>
      <c r="F6" s="217"/>
      <c r="G6" s="217">
        <v>1436637</v>
      </c>
      <c r="H6" s="217"/>
      <c r="I6" s="218">
        <v>8956771.1699999999</v>
      </c>
      <c r="J6" s="7"/>
      <c r="K6" s="7"/>
      <c r="L6" s="7"/>
      <c r="M6" s="386" t="s">
        <v>257</v>
      </c>
      <c r="N6" s="216"/>
      <c r="O6" s="217">
        <v>0</v>
      </c>
      <c r="P6" s="217">
        <v>0</v>
      </c>
      <c r="Q6" s="217"/>
      <c r="R6" s="217">
        <v>0</v>
      </c>
      <c r="S6" s="217"/>
      <c r="T6" s="218">
        <v>0</v>
      </c>
    </row>
    <row r="7" spans="1:21" x14ac:dyDescent="0.25">
      <c r="A7" s="7"/>
      <c r="B7" s="386" t="s">
        <v>258</v>
      </c>
      <c r="C7" s="216"/>
      <c r="D7" s="217"/>
      <c r="E7" s="217">
        <v>921395.34</v>
      </c>
      <c r="F7" s="217"/>
      <c r="G7" s="217"/>
      <c r="H7" s="217"/>
      <c r="I7" s="218">
        <v>921395.34</v>
      </c>
      <c r="J7" s="7"/>
      <c r="K7" s="7"/>
      <c r="L7" s="7"/>
      <c r="M7" s="386" t="s">
        <v>258</v>
      </c>
      <c r="N7" s="216"/>
      <c r="O7" s="217"/>
      <c r="P7" s="217">
        <v>0</v>
      </c>
      <c r="Q7" s="217"/>
      <c r="R7" s="217"/>
      <c r="S7" s="217"/>
      <c r="T7" s="218">
        <v>0</v>
      </c>
    </row>
    <row r="8" spans="1:21" x14ac:dyDescent="0.25">
      <c r="A8" s="7"/>
      <c r="B8" s="386" t="s">
        <v>259</v>
      </c>
      <c r="C8" s="216"/>
      <c r="D8" s="217">
        <v>500000</v>
      </c>
      <c r="E8" s="217">
        <v>532500</v>
      </c>
      <c r="F8" s="217"/>
      <c r="G8" s="217"/>
      <c r="H8" s="217"/>
      <c r="I8" s="218">
        <v>1032500</v>
      </c>
      <c r="J8" s="7"/>
      <c r="K8" s="7"/>
      <c r="L8" s="7"/>
      <c r="M8" s="386" t="s">
        <v>259</v>
      </c>
      <c r="N8" s="216"/>
      <c r="O8" s="217">
        <v>0</v>
      </c>
      <c r="P8" s="217">
        <v>0</v>
      </c>
      <c r="Q8" s="217"/>
      <c r="R8" s="217"/>
      <c r="S8" s="217"/>
      <c r="T8" s="218">
        <v>0</v>
      </c>
    </row>
    <row r="9" spans="1:21" x14ac:dyDescent="0.25">
      <c r="A9" s="7"/>
      <c r="B9" s="386" t="s">
        <v>260</v>
      </c>
      <c r="C9" s="216"/>
      <c r="D9" s="217">
        <v>7100000</v>
      </c>
      <c r="E9" s="217">
        <v>1123000</v>
      </c>
      <c r="F9" s="217"/>
      <c r="G9" s="217"/>
      <c r="H9" s="217"/>
      <c r="I9" s="218">
        <v>8223000</v>
      </c>
      <c r="J9" s="7"/>
      <c r="K9" s="7"/>
      <c r="L9" s="7"/>
      <c r="M9" s="386" t="s">
        <v>260</v>
      </c>
      <c r="N9" s="216"/>
      <c r="O9" s="217">
        <v>0</v>
      </c>
      <c r="P9" s="217">
        <v>0</v>
      </c>
      <c r="Q9" s="217"/>
      <c r="R9" s="217"/>
      <c r="S9" s="217"/>
      <c r="T9" s="218">
        <v>0</v>
      </c>
    </row>
    <row r="10" spans="1:21" x14ac:dyDescent="0.25">
      <c r="A10" s="7"/>
      <c r="B10" s="386" t="s">
        <v>261</v>
      </c>
      <c r="C10" s="216">
        <v>1066493.4699999997</v>
      </c>
      <c r="D10" s="217"/>
      <c r="E10" s="217"/>
      <c r="F10" s="217"/>
      <c r="G10" s="217"/>
      <c r="H10" s="217">
        <v>143000</v>
      </c>
      <c r="I10" s="218">
        <v>1209493.4699999997</v>
      </c>
      <c r="J10" s="7"/>
      <c r="K10" s="7"/>
      <c r="L10" s="7"/>
      <c r="M10" s="386" t="s">
        <v>261</v>
      </c>
      <c r="N10" s="216">
        <v>0</v>
      </c>
      <c r="O10" s="217"/>
      <c r="P10" s="217"/>
      <c r="Q10" s="217"/>
      <c r="R10" s="217"/>
      <c r="S10" s="217">
        <v>0</v>
      </c>
      <c r="T10" s="218">
        <v>0</v>
      </c>
    </row>
    <row r="11" spans="1:21" x14ac:dyDescent="0.25">
      <c r="A11" s="7"/>
      <c r="B11" s="386" t="s">
        <v>262</v>
      </c>
      <c r="C11" s="216"/>
      <c r="D11" s="217"/>
      <c r="E11" s="217"/>
      <c r="F11" s="217">
        <v>22509829.469999999</v>
      </c>
      <c r="G11" s="217"/>
      <c r="H11" s="217"/>
      <c r="I11" s="218">
        <v>22509829.469999999</v>
      </c>
      <c r="J11" s="7"/>
      <c r="K11" s="7"/>
      <c r="L11" s="7"/>
      <c r="M11" s="386" t="s">
        <v>262</v>
      </c>
      <c r="N11" s="216"/>
      <c r="O11" s="217"/>
      <c r="P11" s="217"/>
      <c r="Q11" s="217">
        <v>22509829.469999999</v>
      </c>
      <c r="R11" s="217"/>
      <c r="S11" s="217"/>
      <c r="T11" s="218">
        <v>22509829.469999999</v>
      </c>
    </row>
    <row r="12" spans="1:21" x14ac:dyDescent="0.25">
      <c r="A12" s="7"/>
      <c r="B12" s="386" t="s">
        <v>263</v>
      </c>
      <c r="C12" s="216"/>
      <c r="D12" s="217"/>
      <c r="E12" s="217"/>
      <c r="F12" s="217">
        <v>1830361.64</v>
      </c>
      <c r="G12" s="217"/>
      <c r="H12" s="217"/>
      <c r="I12" s="218">
        <v>1830361.64</v>
      </c>
      <c r="J12" s="7"/>
      <c r="K12" s="7"/>
      <c r="L12" s="7"/>
      <c r="M12" s="386" t="s">
        <v>263</v>
      </c>
      <c r="N12" s="216"/>
      <c r="O12" s="217"/>
      <c r="P12" s="217"/>
      <c r="Q12" s="217">
        <v>0</v>
      </c>
      <c r="R12" s="217"/>
      <c r="S12" s="217"/>
      <c r="T12" s="218">
        <v>0</v>
      </c>
    </row>
    <row r="13" spans="1:21" x14ac:dyDescent="0.25">
      <c r="A13" s="7"/>
      <c r="B13" s="386" t="s">
        <v>264</v>
      </c>
      <c r="C13" s="216"/>
      <c r="D13" s="217"/>
      <c r="E13" s="217"/>
      <c r="F13" s="217">
        <v>0</v>
      </c>
      <c r="G13" s="217"/>
      <c r="H13" s="217"/>
      <c r="I13" s="218">
        <v>0</v>
      </c>
      <c r="J13" s="7"/>
      <c r="K13" s="7"/>
      <c r="L13" s="7"/>
      <c r="M13" s="386" t="s">
        <v>264</v>
      </c>
      <c r="N13" s="216"/>
      <c r="O13" s="217"/>
      <c r="P13" s="217"/>
      <c r="Q13" s="217">
        <v>25762930</v>
      </c>
      <c r="R13" s="217"/>
      <c r="S13" s="217"/>
      <c r="T13" s="218">
        <v>25762930</v>
      </c>
    </row>
    <row r="14" spans="1:21" x14ac:dyDescent="0.25">
      <c r="A14" s="7"/>
      <c r="B14" s="386" t="s">
        <v>265</v>
      </c>
      <c r="C14" s="216">
        <v>1173709</v>
      </c>
      <c r="D14" s="217"/>
      <c r="E14" s="217"/>
      <c r="F14" s="217"/>
      <c r="G14" s="217"/>
      <c r="H14" s="217"/>
      <c r="I14" s="218">
        <v>1173709</v>
      </c>
      <c r="J14" s="7"/>
      <c r="K14" s="7"/>
      <c r="L14" s="7"/>
      <c r="M14" s="386" t="s">
        <v>265</v>
      </c>
      <c r="N14" s="216">
        <v>0</v>
      </c>
      <c r="O14" s="217"/>
      <c r="P14" s="217"/>
      <c r="Q14" s="217"/>
      <c r="R14" s="217"/>
      <c r="S14" s="217"/>
      <c r="T14" s="218">
        <v>0</v>
      </c>
    </row>
    <row r="15" spans="1:21" x14ac:dyDescent="0.25">
      <c r="A15" s="7"/>
      <c r="B15" s="386" t="s">
        <v>266</v>
      </c>
      <c r="C15" s="216">
        <v>2571472.0699999998</v>
      </c>
      <c r="D15" s="217"/>
      <c r="E15" s="217"/>
      <c r="F15" s="217"/>
      <c r="G15" s="217"/>
      <c r="H15" s="217"/>
      <c r="I15" s="218">
        <v>2571472.0699999998</v>
      </c>
      <c r="J15" s="7"/>
      <c r="K15" s="7"/>
      <c r="L15" s="7"/>
      <c r="M15" s="386" t="s">
        <v>266</v>
      </c>
      <c r="N15" s="216">
        <v>0</v>
      </c>
      <c r="O15" s="217"/>
      <c r="P15" s="217"/>
      <c r="Q15" s="217"/>
      <c r="R15" s="217"/>
      <c r="S15" s="217"/>
      <c r="T15" s="218">
        <v>0</v>
      </c>
    </row>
    <row r="16" spans="1:21" x14ac:dyDescent="0.25">
      <c r="A16" s="7"/>
      <c r="B16" s="386" t="s">
        <v>277</v>
      </c>
      <c r="C16" s="216">
        <v>2032678.35</v>
      </c>
      <c r="D16" s="217"/>
      <c r="E16" s="217"/>
      <c r="F16" s="217"/>
      <c r="G16" s="217"/>
      <c r="H16" s="217"/>
      <c r="I16" s="218">
        <v>2032678.35</v>
      </c>
      <c r="J16" s="7"/>
      <c r="K16" s="7"/>
      <c r="L16" s="7"/>
      <c r="M16" s="386" t="s">
        <v>277</v>
      </c>
      <c r="N16" s="216">
        <v>0</v>
      </c>
      <c r="O16" s="217"/>
      <c r="P16" s="217"/>
      <c r="Q16" s="217"/>
      <c r="R16" s="217"/>
      <c r="S16" s="217"/>
      <c r="T16" s="218">
        <v>0</v>
      </c>
    </row>
    <row r="17" spans="1:20" x14ac:dyDescent="0.25">
      <c r="A17" s="7"/>
      <c r="B17" s="215" t="s">
        <v>225</v>
      </c>
      <c r="C17" s="377">
        <v>7337439.2400000002</v>
      </c>
      <c r="D17" s="378">
        <v>2479963.27</v>
      </c>
      <c r="E17" s="378">
        <v>4177022.92</v>
      </c>
      <c r="F17" s="378">
        <v>8318189.29</v>
      </c>
      <c r="G17" s="378">
        <v>2697602.64</v>
      </c>
      <c r="H17" s="378">
        <v>30000</v>
      </c>
      <c r="I17" s="218">
        <v>25040217.359999999</v>
      </c>
      <c r="J17" s="7"/>
      <c r="K17" s="7"/>
      <c r="L17" s="7"/>
      <c r="M17" s="215" t="s">
        <v>225</v>
      </c>
      <c r="N17" s="216">
        <v>0</v>
      </c>
      <c r="O17" s="217">
        <v>607040</v>
      </c>
      <c r="P17" s="217">
        <v>0</v>
      </c>
      <c r="Q17" s="217">
        <v>8025889.29</v>
      </c>
      <c r="R17" s="217">
        <v>0</v>
      </c>
      <c r="S17" s="217">
        <v>0</v>
      </c>
      <c r="T17" s="218">
        <v>8632929.2899999991</v>
      </c>
    </row>
    <row r="18" spans="1:20" x14ac:dyDescent="0.25">
      <c r="A18" s="7"/>
      <c r="B18" s="386" t="s">
        <v>258</v>
      </c>
      <c r="C18" s="216">
        <v>381312</v>
      </c>
      <c r="D18" s="217">
        <v>1766963.27</v>
      </c>
      <c r="E18" s="217">
        <v>2312310.92</v>
      </c>
      <c r="F18" s="217"/>
      <c r="G18" s="217">
        <v>2697602.64</v>
      </c>
      <c r="H18" s="217"/>
      <c r="I18" s="218">
        <v>7158188.8300000001</v>
      </c>
      <c r="J18" s="7"/>
      <c r="K18" s="7"/>
      <c r="L18" s="7"/>
      <c r="M18" s="386" t="s">
        <v>258</v>
      </c>
      <c r="N18" s="216">
        <v>0</v>
      </c>
      <c r="O18" s="217">
        <v>0</v>
      </c>
      <c r="P18" s="217">
        <v>0</v>
      </c>
      <c r="Q18" s="217"/>
      <c r="R18" s="217">
        <v>0</v>
      </c>
      <c r="S18" s="217"/>
      <c r="T18" s="218">
        <v>0</v>
      </c>
    </row>
    <row r="19" spans="1:20" x14ac:dyDescent="0.25">
      <c r="A19" s="7"/>
      <c r="B19" s="386" t="s">
        <v>259</v>
      </c>
      <c r="C19" s="216"/>
      <c r="D19" s="217"/>
      <c r="E19" s="217">
        <v>222000</v>
      </c>
      <c r="F19" s="217"/>
      <c r="G19" s="217"/>
      <c r="H19" s="217"/>
      <c r="I19" s="218">
        <v>222000</v>
      </c>
      <c r="J19" s="7"/>
      <c r="K19" s="7"/>
      <c r="L19" s="7"/>
      <c r="M19" s="386" t="s">
        <v>259</v>
      </c>
      <c r="N19" s="216"/>
      <c r="O19" s="217"/>
      <c r="P19" s="217">
        <v>0</v>
      </c>
      <c r="Q19" s="217"/>
      <c r="R19" s="217"/>
      <c r="S19" s="217"/>
      <c r="T19" s="218">
        <v>0</v>
      </c>
    </row>
    <row r="20" spans="1:20" x14ac:dyDescent="0.25">
      <c r="A20" s="7"/>
      <c r="B20" s="386" t="s">
        <v>260</v>
      </c>
      <c r="C20" s="216"/>
      <c r="D20" s="217">
        <v>713000</v>
      </c>
      <c r="E20" s="217">
        <v>1550000</v>
      </c>
      <c r="F20" s="217">
        <v>292300</v>
      </c>
      <c r="G20" s="217"/>
      <c r="H20" s="217"/>
      <c r="I20" s="218">
        <v>2555300</v>
      </c>
      <c r="J20" s="7"/>
      <c r="K20" s="7"/>
      <c r="L20" s="7"/>
      <c r="M20" s="386" t="s">
        <v>260</v>
      </c>
      <c r="N20" s="216"/>
      <c r="O20" s="217">
        <v>0</v>
      </c>
      <c r="P20" s="217">
        <v>0</v>
      </c>
      <c r="Q20" s="217">
        <v>0</v>
      </c>
      <c r="R20" s="217"/>
      <c r="S20" s="217"/>
      <c r="T20" s="218">
        <v>0</v>
      </c>
    </row>
    <row r="21" spans="1:20" x14ac:dyDescent="0.25">
      <c r="A21" s="7"/>
      <c r="B21" s="386" t="s">
        <v>261</v>
      </c>
      <c r="C21" s="216">
        <v>932614.06000000017</v>
      </c>
      <c r="D21" s="217"/>
      <c r="E21" s="217">
        <v>92712</v>
      </c>
      <c r="F21" s="217"/>
      <c r="G21" s="217"/>
      <c r="H21" s="217">
        <v>30000</v>
      </c>
      <c r="I21" s="218">
        <v>1055326.06</v>
      </c>
      <c r="J21" s="7"/>
      <c r="K21" s="7"/>
      <c r="L21" s="7"/>
      <c r="M21" s="386" t="s">
        <v>261</v>
      </c>
      <c r="N21" s="216">
        <v>0</v>
      </c>
      <c r="O21" s="217"/>
      <c r="P21" s="217">
        <v>0</v>
      </c>
      <c r="Q21" s="217"/>
      <c r="R21" s="217"/>
      <c r="S21" s="217">
        <v>0</v>
      </c>
      <c r="T21" s="218">
        <v>0</v>
      </c>
    </row>
    <row r="22" spans="1:20" x14ac:dyDescent="0.25">
      <c r="A22" s="7"/>
      <c r="B22" s="386" t="s">
        <v>262</v>
      </c>
      <c r="C22" s="216"/>
      <c r="D22" s="217"/>
      <c r="E22" s="217"/>
      <c r="F22" s="217">
        <v>8025889.29</v>
      </c>
      <c r="G22" s="217"/>
      <c r="H22" s="217"/>
      <c r="I22" s="218">
        <v>8025889.29</v>
      </c>
      <c r="J22" s="7"/>
      <c r="K22" s="7"/>
      <c r="L22" s="7"/>
      <c r="M22" s="386" t="s">
        <v>262</v>
      </c>
      <c r="N22" s="216"/>
      <c r="O22" s="217"/>
      <c r="P22" s="217"/>
      <c r="Q22" s="217">
        <v>8025889.29</v>
      </c>
      <c r="R22" s="217"/>
      <c r="S22" s="217"/>
      <c r="T22" s="218">
        <v>8025889.29</v>
      </c>
    </row>
    <row r="23" spans="1:20" x14ac:dyDescent="0.25">
      <c r="A23" s="7"/>
      <c r="B23" s="386" t="s">
        <v>265</v>
      </c>
      <c r="C23" s="216">
        <v>1173708.99</v>
      </c>
      <c r="D23" s="217"/>
      <c r="E23" s="217"/>
      <c r="F23" s="217"/>
      <c r="G23" s="217"/>
      <c r="H23" s="217"/>
      <c r="I23" s="218">
        <v>1173708.99</v>
      </c>
      <c r="J23" s="7"/>
      <c r="K23" s="7"/>
      <c r="L23" s="7"/>
      <c r="M23" s="386" t="s">
        <v>265</v>
      </c>
      <c r="N23" s="216">
        <v>0</v>
      </c>
      <c r="O23" s="217"/>
      <c r="P23" s="217"/>
      <c r="Q23" s="217"/>
      <c r="R23" s="217"/>
      <c r="S23" s="217"/>
      <c r="T23" s="218">
        <v>0</v>
      </c>
    </row>
    <row r="24" spans="1:20" x14ac:dyDescent="0.25">
      <c r="A24" s="7"/>
      <c r="B24" s="386" t="s">
        <v>266</v>
      </c>
      <c r="C24" s="216">
        <v>2487804.19</v>
      </c>
      <c r="D24" s="217"/>
      <c r="E24" s="217"/>
      <c r="F24" s="217"/>
      <c r="G24" s="217"/>
      <c r="H24" s="217"/>
      <c r="I24" s="218">
        <v>2487804.19</v>
      </c>
      <c r="J24" s="7"/>
      <c r="K24" s="7"/>
      <c r="L24" s="7"/>
      <c r="M24" s="386" t="s">
        <v>266</v>
      </c>
      <c r="N24" s="216">
        <v>0</v>
      </c>
      <c r="O24" s="217"/>
      <c r="P24" s="217"/>
      <c r="Q24" s="217"/>
      <c r="R24" s="217"/>
      <c r="S24" s="217"/>
      <c r="T24" s="218">
        <v>0</v>
      </c>
    </row>
    <row r="25" spans="1:20" x14ac:dyDescent="0.25">
      <c r="A25" s="7"/>
      <c r="B25" s="386" t="s">
        <v>267</v>
      </c>
      <c r="C25" s="216">
        <v>362000</v>
      </c>
      <c r="D25" s="217"/>
      <c r="E25" s="217"/>
      <c r="F25" s="217"/>
      <c r="G25" s="217"/>
      <c r="H25" s="217"/>
      <c r="I25" s="218">
        <v>362000</v>
      </c>
      <c r="J25" s="7"/>
      <c r="K25" s="7"/>
      <c r="L25" s="7"/>
      <c r="M25" s="386" t="s">
        <v>267</v>
      </c>
      <c r="N25" s="216">
        <v>0</v>
      </c>
      <c r="O25" s="217"/>
      <c r="P25" s="217"/>
      <c r="Q25" s="217"/>
      <c r="R25" s="217"/>
      <c r="S25" s="217"/>
      <c r="T25" s="218">
        <v>0</v>
      </c>
    </row>
    <row r="26" spans="1:20" x14ac:dyDescent="0.25">
      <c r="A26" s="7"/>
      <c r="B26" s="386" t="s">
        <v>268</v>
      </c>
      <c r="C26" s="216">
        <v>1000000</v>
      </c>
      <c r="D26" s="217"/>
      <c r="E26" s="217"/>
      <c r="F26" s="217"/>
      <c r="G26" s="217"/>
      <c r="H26" s="217"/>
      <c r="I26" s="218">
        <v>1000000</v>
      </c>
      <c r="J26" s="7"/>
      <c r="K26" s="7"/>
      <c r="L26" s="7"/>
      <c r="M26" s="386" t="s">
        <v>268</v>
      </c>
      <c r="N26" s="216">
        <v>0</v>
      </c>
      <c r="O26" s="217"/>
      <c r="P26" s="217"/>
      <c r="Q26" s="217"/>
      <c r="R26" s="217"/>
      <c r="S26" s="217"/>
      <c r="T26" s="218">
        <v>0</v>
      </c>
    </row>
    <row r="27" spans="1:20" x14ac:dyDescent="0.25">
      <c r="A27" s="7"/>
      <c r="B27" s="386" t="s">
        <v>269</v>
      </c>
      <c r="C27" s="216"/>
      <c r="D27" s="217">
        <v>0</v>
      </c>
      <c r="E27" s="217"/>
      <c r="F27" s="217"/>
      <c r="G27" s="217"/>
      <c r="H27" s="217"/>
      <c r="I27" s="218">
        <v>0</v>
      </c>
      <c r="J27" s="7"/>
      <c r="K27" s="7"/>
      <c r="L27" s="7"/>
      <c r="M27" s="386" t="s">
        <v>269</v>
      </c>
      <c r="N27" s="216"/>
      <c r="O27" s="217">
        <v>607040</v>
      </c>
      <c r="P27" s="217"/>
      <c r="Q27" s="217"/>
      <c r="R27" s="217"/>
      <c r="S27" s="217"/>
      <c r="T27" s="218">
        <v>607040</v>
      </c>
    </row>
    <row r="28" spans="1:20" x14ac:dyDescent="0.25">
      <c r="A28" s="7"/>
      <c r="B28" s="386" t="s">
        <v>277</v>
      </c>
      <c r="C28" s="216">
        <v>1000000</v>
      </c>
      <c r="D28" s="217"/>
      <c r="E28" s="217"/>
      <c r="F28" s="217"/>
      <c r="G28" s="217"/>
      <c r="H28" s="217"/>
      <c r="I28" s="218">
        <v>1000000</v>
      </c>
      <c r="J28" s="7"/>
      <c r="K28" s="7"/>
      <c r="L28" s="7"/>
      <c r="M28" s="386" t="s">
        <v>277</v>
      </c>
      <c r="N28" s="216">
        <v>0</v>
      </c>
      <c r="O28" s="217"/>
      <c r="P28" s="217"/>
      <c r="Q28" s="217"/>
      <c r="R28" s="217"/>
      <c r="S28" s="217"/>
      <c r="T28" s="218">
        <v>0</v>
      </c>
    </row>
    <row r="29" spans="1:20" x14ac:dyDescent="0.25">
      <c r="A29" s="7"/>
      <c r="B29" s="215" t="s">
        <v>235</v>
      </c>
      <c r="C29" s="377">
        <v>10426460.529999999</v>
      </c>
      <c r="D29" s="378">
        <v>5256184.78</v>
      </c>
      <c r="E29" s="378">
        <v>5649537.3200000003</v>
      </c>
      <c r="F29" s="378">
        <v>11607562.140000001</v>
      </c>
      <c r="G29" s="378">
        <v>1525425.44</v>
      </c>
      <c r="H29" s="378">
        <v>38800</v>
      </c>
      <c r="I29" s="218">
        <v>34503970.210000001</v>
      </c>
      <c r="J29" s="7"/>
      <c r="K29" s="7"/>
      <c r="L29" s="7"/>
      <c r="M29" s="215" t="s">
        <v>235</v>
      </c>
      <c r="N29" s="216">
        <v>6130000</v>
      </c>
      <c r="O29" s="217">
        <v>0</v>
      </c>
      <c r="P29" s="217">
        <v>0</v>
      </c>
      <c r="Q29" s="217">
        <v>31271562.140000001</v>
      </c>
      <c r="R29" s="217">
        <v>0</v>
      </c>
      <c r="S29" s="217">
        <v>0</v>
      </c>
      <c r="T29" s="218">
        <v>37401562.140000001</v>
      </c>
    </row>
    <row r="30" spans="1:20" x14ac:dyDescent="0.25">
      <c r="B30" s="386" t="s">
        <v>258</v>
      </c>
      <c r="C30" s="216"/>
      <c r="D30" s="217">
        <v>2195778.7800000003</v>
      </c>
      <c r="E30" s="217">
        <v>3283712.32</v>
      </c>
      <c r="F30" s="217"/>
      <c r="G30" s="217">
        <v>1525425.44</v>
      </c>
      <c r="H30" s="217"/>
      <c r="I30" s="218">
        <v>7004916.5399999991</v>
      </c>
      <c r="J30" s="7"/>
      <c r="K30" s="7"/>
      <c r="L30" s="7"/>
      <c r="M30" s="386" t="s">
        <v>258</v>
      </c>
      <c r="N30" s="216"/>
      <c r="O30" s="217">
        <v>0</v>
      </c>
      <c r="P30" s="217">
        <v>0</v>
      </c>
      <c r="Q30" s="217"/>
      <c r="R30" s="217">
        <v>0</v>
      </c>
      <c r="S30" s="217"/>
      <c r="T30" s="218">
        <v>0</v>
      </c>
    </row>
    <row r="31" spans="1:20" x14ac:dyDescent="0.25">
      <c r="B31" s="386" t="s">
        <v>259</v>
      </c>
      <c r="C31" s="216"/>
      <c r="D31" s="217">
        <v>500000</v>
      </c>
      <c r="E31" s="217"/>
      <c r="F31" s="217"/>
      <c r="G31" s="217"/>
      <c r="H31" s="217"/>
      <c r="I31" s="218">
        <v>500000</v>
      </c>
      <c r="J31" s="7"/>
      <c r="K31" s="7"/>
      <c r="L31" s="7"/>
      <c r="M31" s="386" t="s">
        <v>259</v>
      </c>
      <c r="N31" s="216"/>
      <c r="O31" s="217">
        <v>0</v>
      </c>
      <c r="P31" s="217"/>
      <c r="Q31" s="217"/>
      <c r="R31" s="217"/>
      <c r="S31" s="217"/>
      <c r="T31" s="218">
        <v>0</v>
      </c>
    </row>
    <row r="32" spans="1:20" x14ac:dyDescent="0.25">
      <c r="B32" s="386" t="s">
        <v>260</v>
      </c>
      <c r="C32" s="216"/>
      <c r="D32" s="217">
        <v>2560406</v>
      </c>
      <c r="E32" s="217">
        <v>1912100</v>
      </c>
      <c r="F32" s="217"/>
      <c r="G32" s="217"/>
      <c r="H32" s="217">
        <v>8800</v>
      </c>
      <c r="I32" s="218">
        <v>4481306</v>
      </c>
      <c r="J32" s="7"/>
      <c r="K32" s="7"/>
      <c r="L32" s="7"/>
      <c r="M32" s="386" t="s">
        <v>260</v>
      </c>
      <c r="N32" s="216"/>
      <c r="O32" s="217">
        <v>0</v>
      </c>
      <c r="P32" s="217">
        <v>0</v>
      </c>
      <c r="Q32" s="217"/>
      <c r="R32" s="217"/>
      <c r="S32" s="217">
        <v>0</v>
      </c>
      <c r="T32" s="218">
        <v>0</v>
      </c>
    </row>
    <row r="33" spans="2:20" x14ac:dyDescent="0.25">
      <c r="B33" s="386" t="s">
        <v>261</v>
      </c>
      <c r="C33" s="216">
        <v>2689062</v>
      </c>
      <c r="D33" s="217"/>
      <c r="E33" s="217">
        <v>453725</v>
      </c>
      <c r="F33" s="217"/>
      <c r="G33" s="217"/>
      <c r="H33" s="217">
        <v>30000</v>
      </c>
      <c r="I33" s="218">
        <v>3172787</v>
      </c>
      <c r="J33" s="7"/>
      <c r="K33" s="7"/>
      <c r="L33" s="7"/>
      <c r="M33" s="386" t="s">
        <v>261</v>
      </c>
      <c r="N33" s="216">
        <v>0</v>
      </c>
      <c r="O33" s="217"/>
      <c r="P33" s="217">
        <v>0</v>
      </c>
      <c r="Q33" s="217"/>
      <c r="R33" s="217"/>
      <c r="S33" s="217">
        <v>0</v>
      </c>
      <c r="T33" s="218">
        <v>0</v>
      </c>
    </row>
    <row r="34" spans="2:20" x14ac:dyDescent="0.25">
      <c r="B34" s="386" t="s">
        <v>262</v>
      </c>
      <c r="C34" s="216"/>
      <c r="D34" s="217"/>
      <c r="E34" s="217"/>
      <c r="F34" s="217">
        <v>11607562.140000001</v>
      </c>
      <c r="G34" s="217"/>
      <c r="H34" s="217"/>
      <c r="I34" s="218">
        <v>11607562.140000001</v>
      </c>
      <c r="J34" s="7"/>
      <c r="K34" s="7"/>
      <c r="L34" s="7"/>
      <c r="M34" s="386" t="s">
        <v>262</v>
      </c>
      <c r="N34" s="216"/>
      <c r="O34" s="217"/>
      <c r="P34" s="217"/>
      <c r="Q34" s="217">
        <v>11607562.140000001</v>
      </c>
      <c r="R34" s="217"/>
      <c r="S34" s="217"/>
      <c r="T34" s="218">
        <v>11607562.140000001</v>
      </c>
    </row>
    <row r="35" spans="2:20" x14ac:dyDescent="0.25">
      <c r="B35" s="386" t="s">
        <v>264</v>
      </c>
      <c r="C35" s="216"/>
      <c r="D35" s="217"/>
      <c r="E35" s="217"/>
      <c r="F35" s="217">
        <v>0</v>
      </c>
      <c r="G35" s="217"/>
      <c r="H35" s="217"/>
      <c r="I35" s="218">
        <v>0</v>
      </c>
      <c r="J35" s="7"/>
      <c r="K35" s="7"/>
      <c r="L35" s="7"/>
      <c r="M35" s="386" t="s">
        <v>264</v>
      </c>
      <c r="N35" s="216"/>
      <c r="O35" s="217"/>
      <c r="P35" s="217"/>
      <c r="Q35" s="217">
        <v>19664000</v>
      </c>
      <c r="R35" s="217"/>
      <c r="S35" s="217"/>
      <c r="T35" s="218">
        <v>19664000</v>
      </c>
    </row>
    <row r="36" spans="2:20" x14ac:dyDescent="0.25">
      <c r="B36" s="386" t="s">
        <v>265</v>
      </c>
      <c r="C36" s="216">
        <v>1173709</v>
      </c>
      <c r="D36" s="217"/>
      <c r="E36" s="217"/>
      <c r="F36" s="217"/>
      <c r="G36" s="217"/>
      <c r="H36" s="217"/>
      <c r="I36" s="218">
        <v>1173709</v>
      </c>
      <c r="J36" s="7"/>
      <c r="K36" s="7"/>
      <c r="L36" s="7"/>
      <c r="M36" s="386" t="s">
        <v>265</v>
      </c>
      <c r="N36" s="216">
        <v>0</v>
      </c>
      <c r="O36" s="217"/>
      <c r="P36" s="217"/>
      <c r="Q36" s="217"/>
      <c r="R36" s="217"/>
      <c r="S36" s="217"/>
      <c r="T36" s="218">
        <v>0</v>
      </c>
    </row>
    <row r="37" spans="2:20" x14ac:dyDescent="0.25">
      <c r="B37" s="386" t="s">
        <v>266</v>
      </c>
      <c r="C37" s="216">
        <v>3275653.96</v>
      </c>
      <c r="D37" s="217"/>
      <c r="E37" s="217"/>
      <c r="F37" s="217"/>
      <c r="G37" s="217"/>
      <c r="H37" s="217"/>
      <c r="I37" s="218">
        <v>3275653.96</v>
      </c>
      <c r="J37" s="7"/>
      <c r="K37" s="7"/>
      <c r="L37" s="7"/>
      <c r="M37" s="386" t="s">
        <v>266</v>
      </c>
      <c r="N37" s="216">
        <v>0</v>
      </c>
      <c r="O37" s="217"/>
      <c r="P37" s="217"/>
      <c r="Q37" s="217"/>
      <c r="R37" s="217"/>
      <c r="S37" s="217"/>
      <c r="T37" s="218">
        <v>0</v>
      </c>
    </row>
    <row r="38" spans="2:20" x14ac:dyDescent="0.25">
      <c r="B38" s="386" t="s">
        <v>267</v>
      </c>
      <c r="C38" s="216">
        <v>638000</v>
      </c>
      <c r="D38" s="217"/>
      <c r="E38" s="217"/>
      <c r="F38" s="217"/>
      <c r="G38" s="217"/>
      <c r="H38" s="217"/>
      <c r="I38" s="218">
        <v>638000</v>
      </c>
      <c r="J38" s="7"/>
      <c r="K38" s="7"/>
      <c r="L38" s="7"/>
      <c r="M38" s="386" t="s">
        <v>267</v>
      </c>
      <c r="N38" s="216">
        <v>0</v>
      </c>
      <c r="O38" s="217"/>
      <c r="P38" s="217"/>
      <c r="Q38" s="217"/>
      <c r="R38" s="217"/>
      <c r="S38" s="217"/>
      <c r="T38" s="218">
        <v>0</v>
      </c>
    </row>
    <row r="39" spans="2:20" x14ac:dyDescent="0.25">
      <c r="B39" s="386" t="s">
        <v>271</v>
      </c>
      <c r="C39" s="216">
        <v>0</v>
      </c>
      <c r="D39" s="217"/>
      <c r="E39" s="217"/>
      <c r="F39" s="217"/>
      <c r="G39" s="217"/>
      <c r="H39" s="217"/>
      <c r="I39" s="218">
        <v>0</v>
      </c>
      <c r="J39" s="7"/>
      <c r="K39" s="7"/>
      <c r="L39" s="7"/>
      <c r="M39" s="386" t="s">
        <v>271</v>
      </c>
      <c r="N39" s="216">
        <v>10000</v>
      </c>
      <c r="O39" s="217"/>
      <c r="P39" s="217"/>
      <c r="Q39" s="217"/>
      <c r="R39" s="217"/>
      <c r="S39" s="217"/>
      <c r="T39" s="218">
        <v>10000</v>
      </c>
    </row>
    <row r="40" spans="2:20" x14ac:dyDescent="0.25">
      <c r="B40" s="386" t="s">
        <v>272</v>
      </c>
      <c r="C40" s="216">
        <v>0</v>
      </c>
      <c r="D40" s="217"/>
      <c r="E40" s="217"/>
      <c r="F40" s="217"/>
      <c r="G40" s="217"/>
      <c r="H40" s="217"/>
      <c r="I40" s="218">
        <v>0</v>
      </c>
      <c r="J40" s="7"/>
      <c r="K40" s="7"/>
      <c r="L40" s="7"/>
      <c r="M40" s="386" t="s">
        <v>272</v>
      </c>
      <c r="N40" s="216">
        <v>5770000</v>
      </c>
      <c r="O40" s="217"/>
      <c r="P40" s="217"/>
      <c r="Q40" s="217"/>
      <c r="R40" s="217"/>
      <c r="S40" s="217"/>
      <c r="T40" s="218">
        <v>5770000</v>
      </c>
    </row>
    <row r="41" spans="2:20" x14ac:dyDescent="0.25">
      <c r="B41" s="386" t="s">
        <v>273</v>
      </c>
      <c r="C41" s="216">
        <v>350000</v>
      </c>
      <c r="D41" s="217"/>
      <c r="E41" s="217"/>
      <c r="F41" s="217"/>
      <c r="G41" s="217"/>
      <c r="H41" s="217"/>
      <c r="I41" s="218">
        <v>350000</v>
      </c>
      <c r="J41" s="7"/>
      <c r="K41" s="7"/>
      <c r="L41" s="7"/>
      <c r="M41" s="386" t="s">
        <v>273</v>
      </c>
      <c r="N41" s="216">
        <v>350000</v>
      </c>
      <c r="O41" s="217"/>
      <c r="P41" s="217"/>
      <c r="Q41" s="217"/>
      <c r="R41" s="217"/>
      <c r="S41" s="217"/>
      <c r="T41" s="218">
        <v>350000</v>
      </c>
    </row>
    <row r="42" spans="2:20" x14ac:dyDescent="0.25">
      <c r="B42" s="386" t="s">
        <v>277</v>
      </c>
      <c r="C42" s="216">
        <v>2300035.5699999998</v>
      </c>
      <c r="D42" s="217"/>
      <c r="E42" s="217"/>
      <c r="F42" s="217"/>
      <c r="G42" s="217"/>
      <c r="H42" s="217"/>
      <c r="I42" s="218">
        <v>2300035.5699999998</v>
      </c>
      <c r="J42" s="7"/>
      <c r="K42" s="7"/>
      <c r="L42" s="7"/>
      <c r="M42" s="386" t="s">
        <v>277</v>
      </c>
      <c r="N42" s="216">
        <v>0</v>
      </c>
      <c r="O42" s="217"/>
      <c r="P42" s="217"/>
      <c r="Q42" s="217"/>
      <c r="R42" s="217"/>
      <c r="S42" s="217"/>
      <c r="T42" s="218">
        <v>0</v>
      </c>
    </row>
    <row r="43" spans="2:20" x14ac:dyDescent="0.25">
      <c r="B43" s="215" t="s">
        <v>242</v>
      </c>
      <c r="C43" s="377">
        <v>8909020.5900000017</v>
      </c>
      <c r="D43" s="378">
        <v>11560526</v>
      </c>
      <c r="E43" s="378">
        <v>85050</v>
      </c>
      <c r="F43" s="378">
        <v>63321510.910000004</v>
      </c>
      <c r="G43" s="378">
        <v>2951393.42</v>
      </c>
      <c r="H43" s="378"/>
      <c r="I43" s="218">
        <v>86827500.920000017</v>
      </c>
      <c r="J43" s="7"/>
      <c r="K43" s="7"/>
      <c r="L43" s="7"/>
      <c r="M43" s="215" t="s">
        <v>242</v>
      </c>
      <c r="N43" s="216">
        <v>12171000</v>
      </c>
      <c r="O43" s="217">
        <v>0</v>
      </c>
      <c r="P43" s="217">
        <v>0</v>
      </c>
      <c r="Q43" s="217">
        <v>54234537.649999991</v>
      </c>
      <c r="R43" s="217">
        <v>0</v>
      </c>
      <c r="S43" s="217"/>
      <c r="T43" s="218">
        <v>66405537.649999991</v>
      </c>
    </row>
    <row r="44" spans="2:20" x14ac:dyDescent="0.25">
      <c r="B44" s="386" t="s">
        <v>258</v>
      </c>
      <c r="C44" s="216"/>
      <c r="D44" s="217">
        <v>1822620</v>
      </c>
      <c r="E44" s="217"/>
      <c r="F44" s="217"/>
      <c r="G44" s="217">
        <v>2951393.42</v>
      </c>
      <c r="H44" s="217"/>
      <c r="I44" s="218">
        <v>4774013.42</v>
      </c>
      <c r="J44" s="7"/>
      <c r="K44" s="7"/>
      <c r="L44" s="7"/>
      <c r="M44" s="386" t="s">
        <v>258</v>
      </c>
      <c r="N44" s="216"/>
      <c r="O44" s="217">
        <v>0</v>
      </c>
      <c r="P44" s="217"/>
      <c r="Q44" s="217"/>
      <c r="R44" s="217">
        <v>0</v>
      </c>
      <c r="S44" s="217"/>
      <c r="T44" s="218">
        <v>0</v>
      </c>
    </row>
    <row r="45" spans="2:20" x14ac:dyDescent="0.25">
      <c r="B45" s="386" t="s">
        <v>259</v>
      </c>
      <c r="C45" s="216"/>
      <c r="D45" s="217"/>
      <c r="E45" s="217">
        <v>85050</v>
      </c>
      <c r="F45" s="217"/>
      <c r="G45" s="217"/>
      <c r="H45" s="217"/>
      <c r="I45" s="218">
        <v>85050</v>
      </c>
      <c r="J45" s="7"/>
      <c r="K45" s="7"/>
      <c r="L45" s="7"/>
      <c r="M45" s="386" t="s">
        <v>259</v>
      </c>
      <c r="N45" s="216"/>
      <c r="O45" s="217"/>
      <c r="P45" s="217">
        <v>0</v>
      </c>
      <c r="Q45" s="217"/>
      <c r="R45" s="217"/>
      <c r="S45" s="217"/>
      <c r="T45" s="218">
        <v>0</v>
      </c>
    </row>
    <row r="46" spans="2:20" x14ac:dyDescent="0.25">
      <c r="B46" s="386" t="s">
        <v>260</v>
      </c>
      <c r="C46" s="216"/>
      <c r="D46" s="217">
        <v>9737906</v>
      </c>
      <c r="E46" s="217"/>
      <c r="F46" s="217"/>
      <c r="G46" s="217"/>
      <c r="H46" s="217"/>
      <c r="I46" s="218">
        <v>9737906</v>
      </c>
      <c r="J46" s="7"/>
      <c r="K46" s="7"/>
      <c r="L46" s="7"/>
      <c r="M46" s="386" t="s">
        <v>260</v>
      </c>
      <c r="N46" s="216"/>
      <c r="O46" s="217">
        <v>0</v>
      </c>
      <c r="P46" s="217"/>
      <c r="Q46" s="217"/>
      <c r="R46" s="217"/>
      <c r="S46" s="217"/>
      <c r="T46" s="218">
        <v>0</v>
      </c>
    </row>
    <row r="47" spans="2:20" x14ac:dyDescent="0.25">
      <c r="B47" s="386" t="s">
        <v>261</v>
      </c>
      <c r="C47" s="216">
        <v>2469825.3900000011</v>
      </c>
      <c r="D47" s="217"/>
      <c r="E47" s="217"/>
      <c r="F47" s="217"/>
      <c r="G47" s="217"/>
      <c r="H47" s="217"/>
      <c r="I47" s="218">
        <v>2469825.3900000011</v>
      </c>
      <c r="J47" s="7"/>
      <c r="K47" s="7"/>
      <c r="L47" s="7"/>
      <c r="M47" s="386" t="s">
        <v>261</v>
      </c>
      <c r="N47" s="216">
        <v>0</v>
      </c>
      <c r="O47" s="217"/>
      <c r="P47" s="217"/>
      <c r="Q47" s="217"/>
      <c r="R47" s="217"/>
      <c r="S47" s="217"/>
      <c r="T47" s="218">
        <v>0</v>
      </c>
    </row>
    <row r="48" spans="2:20" x14ac:dyDescent="0.25">
      <c r="B48" s="386" t="s">
        <v>262</v>
      </c>
      <c r="C48" s="216"/>
      <c r="D48" s="217"/>
      <c r="E48" s="217"/>
      <c r="F48" s="217">
        <v>36717382.240000002</v>
      </c>
      <c r="G48" s="217"/>
      <c r="H48" s="217"/>
      <c r="I48" s="218">
        <v>36717382.240000002</v>
      </c>
      <c r="J48" s="7"/>
      <c r="K48" s="7"/>
      <c r="L48" s="7"/>
      <c r="M48" s="386" t="s">
        <v>262</v>
      </c>
      <c r="N48" s="216"/>
      <c r="O48" s="217"/>
      <c r="P48" s="217"/>
      <c r="Q48" s="217">
        <v>36717382.239999995</v>
      </c>
      <c r="R48" s="217"/>
      <c r="S48" s="217"/>
      <c r="T48" s="218">
        <v>36717382.239999995</v>
      </c>
    </row>
    <row r="49" spans="2:20" x14ac:dyDescent="0.25">
      <c r="B49" s="386" t="s">
        <v>264</v>
      </c>
      <c r="C49" s="216"/>
      <c r="D49" s="217"/>
      <c r="E49" s="217"/>
      <c r="F49" s="217">
        <v>0</v>
      </c>
      <c r="G49" s="217"/>
      <c r="H49" s="217"/>
      <c r="I49" s="218">
        <v>0</v>
      </c>
      <c r="J49" s="7"/>
      <c r="K49" s="7"/>
      <c r="L49" s="7"/>
      <c r="M49" s="386" t="s">
        <v>264</v>
      </c>
      <c r="N49" s="216"/>
      <c r="O49" s="217"/>
      <c r="P49" s="217"/>
      <c r="Q49" s="217">
        <v>17500000</v>
      </c>
      <c r="R49" s="217"/>
      <c r="S49" s="217"/>
      <c r="T49" s="218">
        <v>17500000</v>
      </c>
    </row>
    <row r="50" spans="2:20" x14ac:dyDescent="0.25">
      <c r="B50" s="386" t="s">
        <v>266</v>
      </c>
      <c r="C50" s="216">
        <v>2207016.2000000002</v>
      </c>
      <c r="D50" s="217"/>
      <c r="E50" s="217"/>
      <c r="F50" s="217"/>
      <c r="G50" s="217"/>
      <c r="H50" s="217"/>
      <c r="I50" s="218">
        <v>2207016.2000000002</v>
      </c>
      <c r="J50" s="7"/>
      <c r="K50" s="7"/>
      <c r="L50" s="7"/>
      <c r="M50" s="386" t="s">
        <v>266</v>
      </c>
      <c r="N50" s="216">
        <v>0</v>
      </c>
      <c r="O50" s="217"/>
      <c r="P50" s="217"/>
      <c r="Q50" s="217"/>
      <c r="R50" s="217"/>
      <c r="S50" s="217"/>
      <c r="T50" s="218">
        <v>0</v>
      </c>
    </row>
    <row r="51" spans="2:20" x14ac:dyDescent="0.25">
      <c r="B51" s="386" t="s">
        <v>267</v>
      </c>
      <c r="C51" s="216">
        <v>550000</v>
      </c>
      <c r="D51" s="217"/>
      <c r="E51" s="217"/>
      <c r="F51" s="217"/>
      <c r="G51" s="217"/>
      <c r="H51" s="217"/>
      <c r="I51" s="218">
        <v>550000</v>
      </c>
      <c r="J51" s="7"/>
      <c r="K51" s="7"/>
      <c r="L51" s="7"/>
      <c r="M51" s="386" t="s">
        <v>267</v>
      </c>
      <c r="N51" s="216">
        <v>0</v>
      </c>
      <c r="O51" s="217"/>
      <c r="P51" s="217"/>
      <c r="Q51" s="217"/>
      <c r="R51" s="217"/>
      <c r="S51" s="217"/>
      <c r="T51" s="218">
        <v>0</v>
      </c>
    </row>
    <row r="52" spans="2:20" x14ac:dyDescent="0.25">
      <c r="B52" s="386" t="s">
        <v>272</v>
      </c>
      <c r="C52" s="216">
        <v>0</v>
      </c>
      <c r="D52" s="217"/>
      <c r="E52" s="217"/>
      <c r="F52" s="217"/>
      <c r="G52" s="217"/>
      <c r="H52" s="217"/>
      <c r="I52" s="218">
        <v>0</v>
      </c>
      <c r="J52" s="7"/>
      <c r="K52" s="7"/>
      <c r="L52" s="7"/>
      <c r="M52" s="386" t="s">
        <v>272</v>
      </c>
      <c r="N52" s="216">
        <v>3431000</v>
      </c>
      <c r="O52" s="217"/>
      <c r="P52" s="217"/>
      <c r="Q52" s="217"/>
      <c r="R52" s="217"/>
      <c r="S52" s="217"/>
      <c r="T52" s="218">
        <v>3431000</v>
      </c>
    </row>
    <row r="53" spans="2:20" x14ac:dyDescent="0.25">
      <c r="B53" s="386" t="s">
        <v>273</v>
      </c>
      <c r="C53" s="216">
        <v>550000</v>
      </c>
      <c r="D53" s="217"/>
      <c r="E53" s="217"/>
      <c r="F53" s="217"/>
      <c r="G53" s="217"/>
      <c r="H53" s="217"/>
      <c r="I53" s="218">
        <v>550000</v>
      </c>
      <c r="J53" s="7"/>
      <c r="K53" s="7"/>
      <c r="L53" s="7"/>
      <c r="M53" s="386" t="s">
        <v>273</v>
      </c>
      <c r="N53" s="216">
        <v>8740000</v>
      </c>
      <c r="O53" s="217"/>
      <c r="P53" s="217"/>
      <c r="Q53" s="217"/>
      <c r="R53" s="217"/>
      <c r="S53" s="217"/>
      <c r="T53" s="218">
        <v>8740000</v>
      </c>
    </row>
    <row r="54" spans="2:20" x14ac:dyDescent="0.25">
      <c r="B54" s="386" t="s">
        <v>274</v>
      </c>
      <c r="C54" s="216"/>
      <c r="D54" s="217"/>
      <c r="E54" s="217"/>
      <c r="F54" s="217">
        <v>22882213.690000001</v>
      </c>
      <c r="G54" s="217"/>
      <c r="H54" s="217"/>
      <c r="I54" s="218">
        <v>22882213.690000001</v>
      </c>
      <c r="J54" s="7"/>
      <c r="K54" s="7"/>
      <c r="L54" s="7"/>
      <c r="M54" s="386" t="s">
        <v>274</v>
      </c>
      <c r="N54" s="216"/>
      <c r="O54" s="217"/>
      <c r="P54" s="217"/>
      <c r="Q54" s="217">
        <v>0</v>
      </c>
      <c r="R54" s="217"/>
      <c r="S54" s="217"/>
      <c r="T54" s="218">
        <v>0</v>
      </c>
    </row>
    <row r="55" spans="2:20" x14ac:dyDescent="0.25">
      <c r="B55" s="386" t="s">
        <v>275</v>
      </c>
      <c r="C55" s="216"/>
      <c r="D55" s="217"/>
      <c r="E55" s="217"/>
      <c r="F55" s="217">
        <v>3721914.98</v>
      </c>
      <c r="G55" s="217"/>
      <c r="H55" s="217"/>
      <c r="I55" s="218">
        <v>3721914.98</v>
      </c>
      <c r="J55" s="7"/>
      <c r="K55" s="7"/>
      <c r="L55" s="7"/>
      <c r="M55" s="386" t="s">
        <v>275</v>
      </c>
      <c r="N55" s="216"/>
      <c r="O55" s="217"/>
      <c r="P55" s="217"/>
      <c r="Q55" s="217">
        <v>0</v>
      </c>
      <c r="R55" s="217"/>
      <c r="S55" s="217"/>
      <c r="T55" s="218">
        <v>0</v>
      </c>
    </row>
    <row r="56" spans="2:20" x14ac:dyDescent="0.25">
      <c r="B56" s="386" t="s">
        <v>276</v>
      </c>
      <c r="C56" s="216"/>
      <c r="D56" s="217"/>
      <c r="E56" s="217"/>
      <c r="F56" s="217">
        <v>0</v>
      </c>
      <c r="G56" s="217"/>
      <c r="H56" s="217"/>
      <c r="I56" s="218">
        <v>0</v>
      </c>
      <c r="J56" s="7"/>
      <c r="K56" s="7"/>
      <c r="L56" s="7"/>
      <c r="M56" s="386" t="s">
        <v>276</v>
      </c>
      <c r="N56" s="216"/>
      <c r="O56" s="217"/>
      <c r="P56" s="217"/>
      <c r="Q56" s="217">
        <v>17155.41</v>
      </c>
      <c r="R56" s="217"/>
      <c r="S56" s="217"/>
      <c r="T56" s="218">
        <v>17155.41</v>
      </c>
    </row>
    <row r="57" spans="2:20" x14ac:dyDescent="0.25">
      <c r="B57" s="386" t="s">
        <v>277</v>
      </c>
      <c r="C57" s="216">
        <v>3132179</v>
      </c>
      <c r="D57" s="217"/>
      <c r="E57" s="217"/>
      <c r="F57" s="217"/>
      <c r="G57" s="217"/>
      <c r="H57" s="217"/>
      <c r="I57" s="218">
        <v>3132179</v>
      </c>
      <c r="J57" s="7"/>
      <c r="K57" s="7"/>
      <c r="L57" s="7"/>
      <c r="M57" s="386" t="s">
        <v>277</v>
      </c>
      <c r="N57" s="216">
        <v>0</v>
      </c>
      <c r="O57" s="217"/>
      <c r="P57" s="217"/>
      <c r="Q57" s="217"/>
      <c r="R57" s="217"/>
      <c r="S57" s="217"/>
      <c r="T57" s="218">
        <v>0</v>
      </c>
    </row>
    <row r="58" spans="2:20" x14ac:dyDescent="0.25">
      <c r="B58" s="215" t="s">
        <v>247</v>
      </c>
      <c r="C58" s="377">
        <v>33033413.43</v>
      </c>
      <c r="D58" s="378">
        <v>19504014.689999998</v>
      </c>
      <c r="E58" s="378">
        <v>3977899.7300000004</v>
      </c>
      <c r="F58" s="378">
        <v>26030785.34</v>
      </c>
      <c r="G58" s="378">
        <v>6698423.46</v>
      </c>
      <c r="H58" s="378">
        <v>53000</v>
      </c>
      <c r="I58" s="218">
        <v>89297536.650000006</v>
      </c>
      <c r="J58" s="7"/>
      <c r="K58" s="7"/>
      <c r="L58" s="7"/>
      <c r="M58" s="215" t="s">
        <v>247</v>
      </c>
      <c r="N58" s="216">
        <v>1997021.73</v>
      </c>
      <c r="O58" s="217">
        <v>19197185.07</v>
      </c>
      <c r="P58" s="217">
        <v>0</v>
      </c>
      <c r="Q58" s="217">
        <v>22353642.859999999</v>
      </c>
      <c r="R58" s="217">
        <v>58177991.899999999</v>
      </c>
      <c r="S58" s="217">
        <v>0</v>
      </c>
      <c r="T58" s="218">
        <v>101725841.56</v>
      </c>
    </row>
    <row r="59" spans="2:20" x14ac:dyDescent="0.25">
      <c r="B59" s="386" t="s">
        <v>258</v>
      </c>
      <c r="C59" s="216"/>
      <c r="D59" s="217">
        <v>6504014.6899999995</v>
      </c>
      <c r="E59" s="217">
        <v>3962899.7300000004</v>
      </c>
      <c r="F59" s="217"/>
      <c r="G59" s="217">
        <v>6698423.46</v>
      </c>
      <c r="H59" s="217"/>
      <c r="I59" s="218">
        <v>17165337.879999999</v>
      </c>
      <c r="J59" s="7"/>
      <c r="K59" s="7"/>
      <c r="L59" s="7"/>
      <c r="M59" s="386" t="s">
        <v>258</v>
      </c>
      <c r="N59" s="216"/>
      <c r="O59" s="217">
        <v>0</v>
      </c>
      <c r="P59" s="217">
        <v>0</v>
      </c>
      <c r="Q59" s="217"/>
      <c r="R59" s="217">
        <v>0</v>
      </c>
      <c r="S59" s="217"/>
      <c r="T59" s="218">
        <v>0</v>
      </c>
    </row>
    <row r="60" spans="2:20" x14ac:dyDescent="0.25">
      <c r="B60" s="386" t="s">
        <v>260</v>
      </c>
      <c r="C60" s="216"/>
      <c r="D60" s="217">
        <v>13000000</v>
      </c>
      <c r="E60" s="217">
        <v>15000</v>
      </c>
      <c r="F60" s="217"/>
      <c r="G60" s="217"/>
      <c r="H60" s="217"/>
      <c r="I60" s="218">
        <v>13015000</v>
      </c>
      <c r="J60" s="7"/>
      <c r="K60" s="7"/>
      <c r="L60" s="7"/>
      <c r="M60" s="386" t="s">
        <v>260</v>
      </c>
      <c r="N60" s="216"/>
      <c r="O60" s="217">
        <v>0</v>
      </c>
      <c r="P60" s="217">
        <v>0</v>
      </c>
      <c r="Q60" s="217"/>
      <c r="R60" s="217"/>
      <c r="S60" s="217"/>
      <c r="T60" s="218">
        <v>0</v>
      </c>
    </row>
    <row r="61" spans="2:20" x14ac:dyDescent="0.25">
      <c r="B61" s="386" t="s">
        <v>261</v>
      </c>
      <c r="C61" s="216">
        <v>3229111.560000001</v>
      </c>
      <c r="D61" s="217"/>
      <c r="E61" s="217"/>
      <c r="F61" s="217"/>
      <c r="G61" s="217"/>
      <c r="H61" s="217">
        <v>53000</v>
      </c>
      <c r="I61" s="218">
        <v>3282111.560000001</v>
      </c>
      <c r="J61" s="7"/>
      <c r="K61" s="7"/>
      <c r="L61" s="7"/>
      <c r="M61" s="386" t="s">
        <v>261</v>
      </c>
      <c r="N61" s="216">
        <v>0</v>
      </c>
      <c r="O61" s="217"/>
      <c r="P61" s="217"/>
      <c r="Q61" s="217"/>
      <c r="R61" s="217"/>
      <c r="S61" s="217">
        <v>0</v>
      </c>
      <c r="T61" s="218">
        <v>0</v>
      </c>
    </row>
    <row r="62" spans="2:20" x14ac:dyDescent="0.25">
      <c r="B62" s="386" t="s">
        <v>262</v>
      </c>
      <c r="C62" s="216"/>
      <c r="D62" s="217"/>
      <c r="E62" s="217"/>
      <c r="F62" s="217">
        <v>22353642.859999999</v>
      </c>
      <c r="G62" s="217"/>
      <c r="H62" s="217"/>
      <c r="I62" s="218">
        <v>22353642.859999999</v>
      </c>
      <c r="J62" s="7"/>
      <c r="K62" s="7"/>
      <c r="L62" s="7"/>
      <c r="M62" s="386" t="s">
        <v>262</v>
      </c>
      <c r="N62" s="216"/>
      <c r="O62" s="217"/>
      <c r="P62" s="217"/>
      <c r="Q62" s="217">
        <v>22353642.859999999</v>
      </c>
      <c r="R62" s="217"/>
      <c r="S62" s="217"/>
      <c r="T62" s="218">
        <v>22353642.859999999</v>
      </c>
    </row>
    <row r="63" spans="2:20" x14ac:dyDescent="0.25">
      <c r="B63" s="386" t="s">
        <v>265</v>
      </c>
      <c r="C63" s="216">
        <v>1173709</v>
      </c>
      <c r="D63" s="217"/>
      <c r="E63" s="217"/>
      <c r="F63" s="217"/>
      <c r="G63" s="217"/>
      <c r="H63" s="217"/>
      <c r="I63" s="218">
        <v>1173709</v>
      </c>
      <c r="J63" s="7"/>
      <c r="K63" s="7"/>
      <c r="L63" s="7"/>
      <c r="M63" s="386" t="s">
        <v>265</v>
      </c>
      <c r="N63" s="216">
        <v>0</v>
      </c>
      <c r="O63" s="217"/>
      <c r="P63" s="217"/>
      <c r="Q63" s="217"/>
      <c r="R63" s="217"/>
      <c r="S63" s="217"/>
      <c r="T63" s="218">
        <v>0</v>
      </c>
    </row>
    <row r="64" spans="2:20" x14ac:dyDescent="0.25">
      <c r="B64" s="386" t="s">
        <v>266</v>
      </c>
      <c r="C64" s="216">
        <v>4350092.870000001</v>
      </c>
      <c r="D64" s="217"/>
      <c r="E64" s="217"/>
      <c r="F64" s="217"/>
      <c r="G64" s="217"/>
      <c r="H64" s="217"/>
      <c r="I64" s="218">
        <v>4350092.870000001</v>
      </c>
      <c r="J64" s="7"/>
      <c r="K64" s="7"/>
      <c r="L64" s="7"/>
      <c r="M64" s="386" t="s">
        <v>266</v>
      </c>
      <c r="N64" s="216">
        <v>0</v>
      </c>
      <c r="O64" s="217"/>
      <c r="P64" s="217"/>
      <c r="Q64" s="217"/>
      <c r="R64" s="217"/>
      <c r="S64" s="217"/>
      <c r="T64" s="218">
        <v>0</v>
      </c>
    </row>
    <row r="65" spans="2:20" x14ac:dyDescent="0.25">
      <c r="B65" s="386" t="s">
        <v>267</v>
      </c>
      <c r="C65" s="216">
        <v>2490000</v>
      </c>
      <c r="D65" s="217"/>
      <c r="E65" s="217"/>
      <c r="F65" s="217"/>
      <c r="G65" s="217"/>
      <c r="H65" s="217"/>
      <c r="I65" s="218">
        <v>2490000</v>
      </c>
      <c r="J65" s="7"/>
      <c r="K65" s="7"/>
      <c r="L65" s="7"/>
      <c r="M65" s="386" t="s">
        <v>267</v>
      </c>
      <c r="N65" s="216">
        <v>0</v>
      </c>
      <c r="O65" s="217"/>
      <c r="P65" s="217"/>
      <c r="Q65" s="217"/>
      <c r="R65" s="217"/>
      <c r="S65" s="217"/>
      <c r="T65" s="218">
        <v>0</v>
      </c>
    </row>
    <row r="66" spans="2:20" x14ac:dyDescent="0.25">
      <c r="B66" s="386" t="s">
        <v>269</v>
      </c>
      <c r="C66" s="216"/>
      <c r="D66" s="217">
        <v>0</v>
      </c>
      <c r="E66" s="217"/>
      <c r="F66" s="217"/>
      <c r="G66" s="217"/>
      <c r="H66" s="217"/>
      <c r="I66" s="218">
        <v>0</v>
      </c>
      <c r="J66" s="7"/>
      <c r="K66" s="7"/>
      <c r="L66" s="7"/>
      <c r="M66" s="386" t="s">
        <v>269</v>
      </c>
      <c r="N66" s="216"/>
      <c r="O66" s="217">
        <v>19197185.07</v>
      </c>
      <c r="P66" s="217"/>
      <c r="Q66" s="217"/>
      <c r="R66" s="217"/>
      <c r="S66" s="217"/>
      <c r="T66" s="218">
        <v>19197185.07</v>
      </c>
    </row>
    <row r="67" spans="2:20" x14ac:dyDescent="0.25">
      <c r="B67" s="386" t="s">
        <v>270</v>
      </c>
      <c r="C67" s="216"/>
      <c r="D67" s="217"/>
      <c r="E67" s="217"/>
      <c r="F67" s="217"/>
      <c r="G67" s="217">
        <v>0</v>
      </c>
      <c r="H67" s="217"/>
      <c r="I67" s="218">
        <v>0</v>
      </c>
      <c r="J67" s="7"/>
      <c r="K67" s="7"/>
      <c r="L67" s="7"/>
      <c r="M67" s="386" t="s">
        <v>270</v>
      </c>
      <c r="N67" s="216"/>
      <c r="O67" s="217"/>
      <c r="P67" s="217"/>
      <c r="Q67" s="217"/>
      <c r="R67" s="217">
        <v>58177991.899999999</v>
      </c>
      <c r="S67" s="217"/>
      <c r="T67" s="218">
        <v>58177991.899999999</v>
      </c>
    </row>
    <row r="68" spans="2:20" x14ac:dyDescent="0.25">
      <c r="B68" s="386" t="s">
        <v>272</v>
      </c>
      <c r="C68" s="216">
        <v>0</v>
      </c>
      <c r="D68" s="217"/>
      <c r="E68" s="217"/>
      <c r="F68" s="217"/>
      <c r="G68" s="217"/>
      <c r="H68" s="217"/>
      <c r="I68" s="218">
        <v>0</v>
      </c>
      <c r="J68" s="7"/>
      <c r="K68" s="7"/>
      <c r="L68" s="7"/>
      <c r="M68" s="386" t="s">
        <v>272</v>
      </c>
      <c r="N68" s="216">
        <v>717021.73</v>
      </c>
      <c r="O68" s="217"/>
      <c r="P68" s="217"/>
      <c r="Q68" s="217"/>
      <c r="R68" s="217"/>
      <c r="S68" s="217"/>
      <c r="T68" s="218">
        <v>717021.73</v>
      </c>
    </row>
    <row r="69" spans="2:20" x14ac:dyDescent="0.25">
      <c r="B69" s="386" t="s">
        <v>273</v>
      </c>
      <c r="C69" s="216">
        <v>11440500</v>
      </c>
      <c r="D69" s="217"/>
      <c r="E69" s="217"/>
      <c r="F69" s="217"/>
      <c r="G69" s="217"/>
      <c r="H69" s="217"/>
      <c r="I69" s="218">
        <v>11440500</v>
      </c>
      <c r="J69" s="7"/>
      <c r="K69" s="7"/>
      <c r="L69" s="7"/>
      <c r="M69" s="386" t="s">
        <v>273</v>
      </c>
      <c r="N69" s="216">
        <v>1280000</v>
      </c>
      <c r="O69" s="217"/>
      <c r="P69" s="217"/>
      <c r="Q69" s="217"/>
      <c r="R69" s="217"/>
      <c r="S69" s="217"/>
      <c r="T69" s="218">
        <v>1280000</v>
      </c>
    </row>
    <row r="70" spans="2:20" x14ac:dyDescent="0.25">
      <c r="B70" s="386" t="s">
        <v>275</v>
      </c>
      <c r="C70" s="216"/>
      <c r="D70" s="217"/>
      <c r="E70" s="217"/>
      <c r="F70" s="217">
        <v>3677142.48</v>
      </c>
      <c r="G70" s="217"/>
      <c r="H70" s="217"/>
      <c r="I70" s="218">
        <v>3677142.48</v>
      </c>
      <c r="J70" s="7"/>
      <c r="K70" s="7"/>
      <c r="L70" s="7"/>
      <c r="M70" s="386" t="s">
        <v>275</v>
      </c>
      <c r="N70" s="216"/>
      <c r="O70" s="217"/>
      <c r="P70" s="217"/>
      <c r="Q70" s="217">
        <v>0</v>
      </c>
      <c r="R70" s="217"/>
      <c r="S70" s="217"/>
      <c r="T70" s="218">
        <v>0</v>
      </c>
    </row>
    <row r="71" spans="2:20" x14ac:dyDescent="0.25">
      <c r="B71" s="386" t="s">
        <v>277</v>
      </c>
      <c r="C71" s="216">
        <v>10350000</v>
      </c>
      <c r="D71" s="217"/>
      <c r="E71" s="217"/>
      <c r="F71" s="217"/>
      <c r="G71" s="217"/>
      <c r="H71" s="217"/>
      <c r="I71" s="218">
        <v>10350000</v>
      </c>
      <c r="J71" s="7"/>
      <c r="K71" s="7"/>
      <c r="L71" s="7"/>
      <c r="M71" s="386" t="s">
        <v>277</v>
      </c>
      <c r="N71" s="216">
        <v>0</v>
      </c>
      <c r="O71" s="217"/>
      <c r="P71" s="217"/>
      <c r="Q71" s="217"/>
      <c r="R71" s="217"/>
      <c r="S71" s="217"/>
      <c r="T71" s="218">
        <v>0</v>
      </c>
    </row>
    <row r="72" spans="2:20" x14ac:dyDescent="0.25">
      <c r="B72" s="215" t="s">
        <v>725</v>
      </c>
      <c r="C72" s="377">
        <v>16550475.379999999</v>
      </c>
      <c r="D72" s="378">
        <v>30512472.460000001</v>
      </c>
      <c r="E72" s="378">
        <v>1211200.3500000001</v>
      </c>
      <c r="F72" s="378">
        <v>107496525.24000001</v>
      </c>
      <c r="G72" s="378">
        <v>38000425.310000002</v>
      </c>
      <c r="H72" s="378"/>
      <c r="I72" s="218">
        <v>193771098.74000001</v>
      </c>
      <c r="J72" s="7"/>
      <c r="K72" s="7"/>
      <c r="L72" s="7"/>
      <c r="M72" s="215" t="s">
        <v>725</v>
      </c>
      <c r="N72" s="216">
        <v>3363657</v>
      </c>
      <c r="O72" s="217">
        <v>71914806.069999993</v>
      </c>
      <c r="P72" s="217">
        <v>0</v>
      </c>
      <c r="Q72" s="217">
        <v>109656744.52000001</v>
      </c>
      <c r="R72" s="217">
        <v>64359736</v>
      </c>
      <c r="S72" s="217"/>
      <c r="T72" s="218">
        <v>249294943.59</v>
      </c>
    </row>
    <row r="73" spans="2:20" x14ac:dyDescent="0.25">
      <c r="B73" s="386" t="s">
        <v>258</v>
      </c>
      <c r="C73" s="216">
        <v>152000</v>
      </c>
      <c r="D73" s="217">
        <v>30512472.460000001</v>
      </c>
      <c r="E73" s="217">
        <v>1010830.35</v>
      </c>
      <c r="F73" s="217"/>
      <c r="G73" s="217">
        <v>12764201.809999999</v>
      </c>
      <c r="H73" s="217"/>
      <c r="I73" s="218">
        <v>44439504.620000005</v>
      </c>
      <c r="J73" s="7"/>
      <c r="K73" s="7"/>
      <c r="L73" s="7"/>
      <c r="M73" s="386" t="s">
        <v>258</v>
      </c>
      <c r="N73" s="216">
        <v>0</v>
      </c>
      <c r="O73" s="217">
        <v>0</v>
      </c>
      <c r="P73" s="217">
        <v>0</v>
      </c>
      <c r="Q73" s="217"/>
      <c r="R73" s="217">
        <v>0</v>
      </c>
      <c r="S73" s="217"/>
      <c r="T73" s="218">
        <v>0</v>
      </c>
    </row>
    <row r="74" spans="2:20" x14ac:dyDescent="0.25">
      <c r="B74" s="386" t="s">
        <v>260</v>
      </c>
      <c r="C74" s="216"/>
      <c r="D74" s="217"/>
      <c r="E74" s="217">
        <v>200370</v>
      </c>
      <c r="F74" s="217"/>
      <c r="G74" s="217">
        <v>234000</v>
      </c>
      <c r="H74" s="217"/>
      <c r="I74" s="218">
        <v>434370</v>
      </c>
      <c r="J74" s="7"/>
      <c r="K74" s="7"/>
      <c r="L74" s="7"/>
      <c r="M74" s="386" t="s">
        <v>260</v>
      </c>
      <c r="N74" s="216"/>
      <c r="O74" s="217"/>
      <c r="P74" s="217">
        <v>0</v>
      </c>
      <c r="Q74" s="217"/>
      <c r="R74" s="217">
        <v>0</v>
      </c>
      <c r="S74" s="217"/>
      <c r="T74" s="218">
        <v>0</v>
      </c>
    </row>
    <row r="75" spans="2:20" x14ac:dyDescent="0.25">
      <c r="B75" s="386" t="s">
        <v>261</v>
      </c>
      <c r="C75" s="216">
        <v>3095160.3799999994</v>
      </c>
      <c r="D75" s="217"/>
      <c r="E75" s="217"/>
      <c r="F75" s="217"/>
      <c r="G75" s="217"/>
      <c r="H75" s="217"/>
      <c r="I75" s="218">
        <v>3095160.3799999994</v>
      </c>
      <c r="J75" s="7"/>
      <c r="K75" s="7"/>
      <c r="L75" s="7"/>
      <c r="M75" s="386" t="s">
        <v>261</v>
      </c>
      <c r="N75" s="216">
        <v>0</v>
      </c>
      <c r="O75" s="217"/>
      <c r="P75" s="217"/>
      <c r="Q75" s="217"/>
      <c r="R75" s="217"/>
      <c r="S75" s="217"/>
      <c r="T75" s="218">
        <v>0</v>
      </c>
    </row>
    <row r="76" spans="2:20" x14ac:dyDescent="0.25">
      <c r="B76" s="386" t="s">
        <v>262</v>
      </c>
      <c r="C76" s="216"/>
      <c r="D76" s="217"/>
      <c r="E76" s="217"/>
      <c r="F76" s="217">
        <v>65427382.240000002</v>
      </c>
      <c r="G76" s="217"/>
      <c r="H76" s="217"/>
      <c r="I76" s="218">
        <v>65427382.240000002</v>
      </c>
      <c r="J76" s="7"/>
      <c r="K76" s="7"/>
      <c r="L76" s="7"/>
      <c r="M76" s="386" t="s">
        <v>262</v>
      </c>
      <c r="N76" s="216"/>
      <c r="O76" s="217"/>
      <c r="P76" s="217"/>
      <c r="Q76" s="217">
        <v>69027382.24000001</v>
      </c>
      <c r="R76" s="217"/>
      <c r="S76" s="217"/>
      <c r="T76" s="218">
        <v>69027382.24000001</v>
      </c>
    </row>
    <row r="77" spans="2:20" x14ac:dyDescent="0.25">
      <c r="B77" s="386" t="s">
        <v>264</v>
      </c>
      <c r="C77" s="216"/>
      <c r="D77" s="217"/>
      <c r="E77" s="217"/>
      <c r="F77" s="217">
        <v>24634929.239999998</v>
      </c>
      <c r="G77" s="217"/>
      <c r="H77" s="217"/>
      <c r="I77" s="218">
        <v>24634929.239999998</v>
      </c>
      <c r="J77" s="7"/>
      <c r="K77" s="7"/>
      <c r="L77" s="7"/>
      <c r="M77" s="386" t="s">
        <v>264</v>
      </c>
      <c r="N77" s="216"/>
      <c r="O77" s="217"/>
      <c r="P77" s="217"/>
      <c r="Q77" s="217">
        <v>30614596.699999999</v>
      </c>
      <c r="R77" s="217"/>
      <c r="S77" s="217"/>
      <c r="T77" s="218">
        <v>30614596.699999999</v>
      </c>
    </row>
    <row r="78" spans="2:20" x14ac:dyDescent="0.25">
      <c r="B78" s="386" t="s">
        <v>265</v>
      </c>
      <c r="C78" s="216">
        <v>1269170</v>
      </c>
      <c r="D78" s="217"/>
      <c r="E78" s="217"/>
      <c r="F78" s="217"/>
      <c r="G78" s="217"/>
      <c r="H78" s="217"/>
      <c r="I78" s="218">
        <v>1269170</v>
      </c>
      <c r="J78" s="7"/>
      <c r="K78" s="7"/>
      <c r="L78" s="7"/>
      <c r="M78" s="386" t="s">
        <v>265</v>
      </c>
      <c r="N78" s="216">
        <v>0</v>
      </c>
      <c r="O78" s="217"/>
      <c r="P78" s="217"/>
      <c r="Q78" s="217"/>
      <c r="R78" s="217"/>
      <c r="S78" s="217"/>
      <c r="T78" s="218">
        <v>0</v>
      </c>
    </row>
    <row r="79" spans="2:20" x14ac:dyDescent="0.25">
      <c r="B79" s="386" t="s">
        <v>266</v>
      </c>
      <c r="C79" s="216">
        <v>2911803</v>
      </c>
      <c r="D79" s="217"/>
      <c r="E79" s="217"/>
      <c r="F79" s="217"/>
      <c r="G79" s="217"/>
      <c r="H79" s="217"/>
      <c r="I79" s="218">
        <v>2911803</v>
      </c>
      <c r="J79" s="7"/>
      <c r="K79" s="7"/>
      <c r="L79" s="7"/>
      <c r="M79" s="386" t="s">
        <v>266</v>
      </c>
      <c r="N79" s="216">
        <v>0</v>
      </c>
      <c r="O79" s="217"/>
      <c r="P79" s="217"/>
      <c r="Q79" s="217"/>
      <c r="R79" s="217"/>
      <c r="S79" s="217"/>
      <c r="T79" s="218">
        <v>0</v>
      </c>
    </row>
    <row r="80" spans="2:20" x14ac:dyDescent="0.25">
      <c r="B80" s="386" t="s">
        <v>267</v>
      </c>
      <c r="C80" s="216">
        <v>2000000</v>
      </c>
      <c r="D80" s="217"/>
      <c r="E80" s="217"/>
      <c r="F80" s="217"/>
      <c r="G80" s="217"/>
      <c r="H80" s="217"/>
      <c r="I80" s="218">
        <v>2000000</v>
      </c>
      <c r="J80" s="7"/>
      <c r="K80" s="7"/>
      <c r="L80" s="7"/>
      <c r="M80" s="386" t="s">
        <v>267</v>
      </c>
      <c r="N80" s="216">
        <v>0</v>
      </c>
      <c r="O80" s="217"/>
      <c r="P80" s="217"/>
      <c r="Q80" s="217"/>
      <c r="R80" s="217"/>
      <c r="S80" s="217"/>
      <c r="T80" s="218">
        <v>0</v>
      </c>
    </row>
    <row r="81" spans="2:20" x14ac:dyDescent="0.25">
      <c r="B81" s="386" t="s">
        <v>268</v>
      </c>
      <c r="C81" s="216">
        <v>2000000</v>
      </c>
      <c r="D81" s="217"/>
      <c r="E81" s="217"/>
      <c r="F81" s="217"/>
      <c r="G81" s="217"/>
      <c r="H81" s="217"/>
      <c r="I81" s="218">
        <v>2000000</v>
      </c>
      <c r="J81" s="7"/>
      <c r="K81" s="7"/>
      <c r="L81" s="7"/>
      <c r="M81" s="386" t="s">
        <v>268</v>
      </c>
      <c r="N81" s="216">
        <v>0</v>
      </c>
      <c r="O81" s="217"/>
      <c r="P81" s="217"/>
      <c r="Q81" s="217"/>
      <c r="R81" s="217"/>
      <c r="S81" s="217"/>
      <c r="T81" s="218">
        <v>0</v>
      </c>
    </row>
    <row r="82" spans="2:20" x14ac:dyDescent="0.25">
      <c r="B82" s="386" t="s">
        <v>269</v>
      </c>
      <c r="C82" s="216"/>
      <c r="D82" s="217">
        <v>0</v>
      </c>
      <c r="E82" s="217"/>
      <c r="F82" s="217"/>
      <c r="G82" s="217"/>
      <c r="H82" s="217"/>
      <c r="I82" s="218">
        <v>0</v>
      </c>
      <c r="J82" s="7"/>
      <c r="K82" s="7"/>
      <c r="L82" s="7"/>
      <c r="M82" s="386" t="s">
        <v>269</v>
      </c>
      <c r="N82" s="216"/>
      <c r="O82" s="217">
        <v>71914806.069999993</v>
      </c>
      <c r="P82" s="217"/>
      <c r="Q82" s="217"/>
      <c r="R82" s="217"/>
      <c r="S82" s="217"/>
      <c r="T82" s="218">
        <v>71914806.069999993</v>
      </c>
    </row>
    <row r="83" spans="2:20" x14ac:dyDescent="0.25">
      <c r="B83" s="386" t="s">
        <v>270</v>
      </c>
      <c r="C83" s="216"/>
      <c r="D83" s="217"/>
      <c r="E83" s="217"/>
      <c r="F83" s="217"/>
      <c r="G83" s="217">
        <v>0</v>
      </c>
      <c r="H83" s="217"/>
      <c r="I83" s="218">
        <v>0</v>
      </c>
      <c r="J83" s="7"/>
      <c r="K83" s="7"/>
      <c r="L83" s="7"/>
      <c r="M83" s="386" t="s">
        <v>270</v>
      </c>
      <c r="N83" s="216"/>
      <c r="O83" s="217"/>
      <c r="P83" s="217"/>
      <c r="Q83" s="217"/>
      <c r="R83" s="217">
        <v>64359736</v>
      </c>
      <c r="S83" s="217"/>
      <c r="T83" s="218">
        <v>64359736</v>
      </c>
    </row>
    <row r="84" spans="2:20" x14ac:dyDescent="0.25">
      <c r="B84" s="386" t="s">
        <v>272</v>
      </c>
      <c r="C84" s="216">
        <v>0</v>
      </c>
      <c r="D84" s="217"/>
      <c r="E84" s="217"/>
      <c r="F84" s="217"/>
      <c r="G84" s="217"/>
      <c r="H84" s="217"/>
      <c r="I84" s="218">
        <v>0</v>
      </c>
      <c r="J84" s="7"/>
      <c r="K84" s="7"/>
      <c r="L84" s="7"/>
      <c r="M84" s="386" t="s">
        <v>272</v>
      </c>
      <c r="N84" s="216">
        <v>17473</v>
      </c>
      <c r="O84" s="217"/>
      <c r="P84" s="217"/>
      <c r="Q84" s="217"/>
      <c r="R84" s="217"/>
      <c r="S84" s="217"/>
      <c r="T84" s="218">
        <v>17473</v>
      </c>
    </row>
    <row r="85" spans="2:20" x14ac:dyDescent="0.25">
      <c r="B85" s="386" t="s">
        <v>273</v>
      </c>
      <c r="C85" s="216">
        <v>2056184</v>
      </c>
      <c r="D85" s="217"/>
      <c r="E85" s="217"/>
      <c r="F85" s="217"/>
      <c r="G85" s="217"/>
      <c r="H85" s="217"/>
      <c r="I85" s="218">
        <v>2056184</v>
      </c>
      <c r="J85" s="7"/>
      <c r="K85" s="7"/>
      <c r="L85" s="7"/>
      <c r="M85" s="386" t="s">
        <v>273</v>
      </c>
      <c r="N85" s="216">
        <v>3346184</v>
      </c>
      <c r="O85" s="217"/>
      <c r="P85" s="217"/>
      <c r="Q85" s="217"/>
      <c r="R85" s="217"/>
      <c r="S85" s="217"/>
      <c r="T85" s="218">
        <v>3346184</v>
      </c>
    </row>
    <row r="86" spans="2:20" x14ac:dyDescent="0.25">
      <c r="B86" s="386" t="s">
        <v>275</v>
      </c>
      <c r="C86" s="216"/>
      <c r="D86" s="217"/>
      <c r="E86" s="217"/>
      <c r="F86" s="217">
        <v>7434213.7599999998</v>
      </c>
      <c r="G86" s="217"/>
      <c r="H86" s="217"/>
      <c r="I86" s="218">
        <v>7434213.7599999998</v>
      </c>
      <c r="J86" s="7"/>
      <c r="K86" s="7"/>
      <c r="L86" s="7"/>
      <c r="M86" s="386" t="s">
        <v>275</v>
      </c>
      <c r="N86" s="216"/>
      <c r="O86" s="217"/>
      <c r="P86" s="217"/>
      <c r="Q86" s="217">
        <v>0</v>
      </c>
      <c r="R86" s="217"/>
      <c r="S86" s="217"/>
      <c r="T86" s="218">
        <v>0</v>
      </c>
    </row>
    <row r="87" spans="2:20" x14ac:dyDescent="0.25">
      <c r="B87" s="386" t="s">
        <v>277</v>
      </c>
      <c r="C87" s="216">
        <v>3066158</v>
      </c>
      <c r="D87" s="217"/>
      <c r="E87" s="217"/>
      <c r="F87" s="217"/>
      <c r="G87" s="217"/>
      <c r="H87" s="217"/>
      <c r="I87" s="218">
        <v>3066158</v>
      </c>
      <c r="J87" s="7"/>
      <c r="K87" s="7"/>
      <c r="L87" s="7"/>
      <c r="M87" s="386" t="s">
        <v>277</v>
      </c>
      <c r="N87" s="216">
        <v>0</v>
      </c>
      <c r="O87" s="217"/>
      <c r="P87" s="217"/>
      <c r="Q87" s="217"/>
      <c r="R87" s="217"/>
      <c r="S87" s="217"/>
      <c r="T87" s="218">
        <v>0</v>
      </c>
    </row>
    <row r="88" spans="2:20" x14ac:dyDescent="0.25">
      <c r="B88" s="386" t="s">
        <v>847</v>
      </c>
      <c r="C88" s="216"/>
      <c r="D88" s="217"/>
      <c r="E88" s="217"/>
      <c r="F88" s="217">
        <v>10000000</v>
      </c>
      <c r="G88" s="217"/>
      <c r="H88" s="217"/>
      <c r="I88" s="218">
        <v>10000000</v>
      </c>
      <c r="J88" s="7"/>
      <c r="K88" s="7"/>
      <c r="L88" s="7"/>
      <c r="M88" s="386" t="s">
        <v>847</v>
      </c>
      <c r="N88" s="216"/>
      <c r="O88" s="217"/>
      <c r="P88" s="217"/>
      <c r="Q88" s="217">
        <v>10014765.58</v>
      </c>
      <c r="R88" s="217"/>
      <c r="S88" s="217"/>
      <c r="T88" s="218">
        <v>10014765.58</v>
      </c>
    </row>
    <row r="89" spans="2:20" x14ac:dyDescent="0.25">
      <c r="B89" s="386" t="s">
        <v>929</v>
      </c>
      <c r="C89" s="216"/>
      <c r="D89" s="217"/>
      <c r="E89" s="217"/>
      <c r="F89" s="217"/>
      <c r="G89" s="217">
        <v>25002223.5</v>
      </c>
      <c r="H89" s="217"/>
      <c r="I89" s="218">
        <v>25002223.5</v>
      </c>
      <c r="J89" s="7"/>
      <c r="K89" s="7"/>
      <c r="L89" s="7"/>
      <c r="M89" s="386" t="s">
        <v>929</v>
      </c>
      <c r="N89" s="216"/>
      <c r="O89" s="217"/>
      <c r="P89" s="217"/>
      <c r="Q89" s="217"/>
      <c r="R89" s="217">
        <v>0</v>
      </c>
      <c r="S89" s="217"/>
      <c r="T89" s="218">
        <v>0</v>
      </c>
    </row>
    <row r="90" spans="2:20" x14ac:dyDescent="0.25">
      <c r="B90" s="215" t="s">
        <v>726</v>
      </c>
      <c r="C90" s="216">
        <v>22581688.720000006</v>
      </c>
      <c r="D90" s="217">
        <v>68998303.280000001</v>
      </c>
      <c r="E90" s="217">
        <v>4010029.6999999997</v>
      </c>
      <c r="F90" s="217">
        <v>171874980.69999999</v>
      </c>
      <c r="G90" s="217">
        <v>175038917.99000001</v>
      </c>
      <c r="H90" s="217">
        <v>30000</v>
      </c>
      <c r="I90" s="218">
        <v>442533920.3900001</v>
      </c>
      <c r="J90" s="7"/>
      <c r="K90" s="7"/>
      <c r="L90" s="7"/>
      <c r="M90" s="215" t="s">
        <v>726</v>
      </c>
      <c r="N90" s="216">
        <v>1436462</v>
      </c>
      <c r="O90" s="217">
        <v>84650366.099999994</v>
      </c>
      <c r="P90" s="217">
        <v>1</v>
      </c>
      <c r="Q90" s="217">
        <v>128827234.57000001</v>
      </c>
      <c r="R90" s="217">
        <v>268349392.5</v>
      </c>
      <c r="S90" s="217">
        <v>0</v>
      </c>
      <c r="T90" s="218">
        <v>483263456.16999996</v>
      </c>
    </row>
    <row r="91" spans="2:20" x14ac:dyDescent="0.25">
      <c r="B91" s="386" t="s">
        <v>258</v>
      </c>
      <c r="C91" s="216"/>
      <c r="D91" s="217">
        <v>68840303.280000001</v>
      </c>
      <c r="E91" s="217">
        <v>3794729.6999999997</v>
      </c>
      <c r="F91" s="217"/>
      <c r="G91" s="217">
        <v>12409462.539999999</v>
      </c>
      <c r="H91" s="217"/>
      <c r="I91" s="218">
        <v>85044495.520000011</v>
      </c>
      <c r="J91" s="7"/>
      <c r="K91" s="7"/>
      <c r="L91" s="7"/>
      <c r="M91" s="386" t="s">
        <v>258</v>
      </c>
      <c r="N91" s="216"/>
      <c r="O91" s="217">
        <v>0</v>
      </c>
      <c r="P91" s="217">
        <v>1</v>
      </c>
      <c r="Q91" s="217"/>
      <c r="R91" s="217">
        <v>0</v>
      </c>
      <c r="S91" s="217"/>
      <c r="T91" s="218">
        <v>1</v>
      </c>
    </row>
    <row r="92" spans="2:20" x14ac:dyDescent="0.25">
      <c r="B92" s="386" t="s">
        <v>260</v>
      </c>
      <c r="C92" s="216"/>
      <c r="D92" s="217">
        <v>140000</v>
      </c>
      <c r="E92" s="217">
        <v>215300</v>
      </c>
      <c r="F92" s="217"/>
      <c r="G92" s="217"/>
      <c r="H92" s="217"/>
      <c r="I92" s="218">
        <v>355300</v>
      </c>
      <c r="J92" s="7"/>
      <c r="K92" s="7"/>
      <c r="L92" s="7"/>
      <c r="M92" s="386" t="s">
        <v>260</v>
      </c>
      <c r="N92" s="216"/>
      <c r="O92" s="217">
        <v>0</v>
      </c>
      <c r="P92" s="217">
        <v>0</v>
      </c>
      <c r="Q92" s="217"/>
      <c r="R92" s="217"/>
      <c r="S92" s="217"/>
      <c r="T92" s="218">
        <v>0</v>
      </c>
    </row>
    <row r="93" spans="2:20" x14ac:dyDescent="0.25">
      <c r="B93" s="386" t="s">
        <v>261</v>
      </c>
      <c r="C93" s="216">
        <v>7654393.9100000039</v>
      </c>
      <c r="D93" s="217">
        <v>18000</v>
      </c>
      <c r="E93" s="217"/>
      <c r="F93" s="217"/>
      <c r="G93" s="217"/>
      <c r="H93" s="217">
        <v>30000</v>
      </c>
      <c r="I93" s="218">
        <v>7702393.9100000039</v>
      </c>
      <c r="J93" s="7"/>
      <c r="K93" s="7"/>
      <c r="L93" s="7"/>
      <c r="M93" s="386" t="s">
        <v>261</v>
      </c>
      <c r="N93" s="216">
        <v>7</v>
      </c>
      <c r="O93" s="217">
        <v>0</v>
      </c>
      <c r="P93" s="217"/>
      <c r="Q93" s="217"/>
      <c r="R93" s="217"/>
      <c r="S93" s="217">
        <v>0</v>
      </c>
      <c r="T93" s="218">
        <v>7</v>
      </c>
    </row>
    <row r="94" spans="2:20" x14ac:dyDescent="0.25">
      <c r="B94" s="386" t="s">
        <v>262</v>
      </c>
      <c r="C94" s="216"/>
      <c r="D94" s="217"/>
      <c r="E94" s="217"/>
      <c r="F94" s="217">
        <v>115383515.48</v>
      </c>
      <c r="G94" s="217"/>
      <c r="H94" s="217"/>
      <c r="I94" s="218">
        <v>115383515.48</v>
      </c>
      <c r="J94" s="7"/>
      <c r="K94" s="7"/>
      <c r="L94" s="7"/>
      <c r="M94" s="386" t="s">
        <v>262</v>
      </c>
      <c r="N94" s="216"/>
      <c r="O94" s="217"/>
      <c r="P94" s="217"/>
      <c r="Q94" s="217">
        <v>111783515.48</v>
      </c>
      <c r="R94" s="217"/>
      <c r="S94" s="217"/>
      <c r="T94" s="218">
        <v>111783515.48</v>
      </c>
    </row>
    <row r="95" spans="2:20" x14ac:dyDescent="0.25">
      <c r="B95" s="386" t="s">
        <v>266</v>
      </c>
      <c r="C95" s="216">
        <v>4961647.8100000005</v>
      </c>
      <c r="D95" s="217"/>
      <c r="E95" s="217"/>
      <c r="F95" s="217"/>
      <c r="G95" s="217"/>
      <c r="H95" s="217"/>
      <c r="I95" s="218">
        <v>4961647.8100000005</v>
      </c>
      <c r="J95" s="7"/>
      <c r="K95" s="7"/>
      <c r="L95" s="7"/>
      <c r="M95" s="386" t="s">
        <v>266</v>
      </c>
      <c r="N95" s="216">
        <v>0</v>
      </c>
      <c r="O95" s="217"/>
      <c r="P95" s="217"/>
      <c r="Q95" s="217"/>
      <c r="R95" s="217"/>
      <c r="S95" s="217"/>
      <c r="T95" s="218">
        <v>0</v>
      </c>
    </row>
    <row r="96" spans="2:20" x14ac:dyDescent="0.25">
      <c r="B96" s="386" t="s">
        <v>267</v>
      </c>
      <c r="C96" s="216">
        <v>1780000</v>
      </c>
      <c r="D96" s="217"/>
      <c r="E96" s="217"/>
      <c r="F96" s="217"/>
      <c r="G96" s="217"/>
      <c r="H96" s="217"/>
      <c r="I96" s="218">
        <v>1780000</v>
      </c>
      <c r="J96" s="7"/>
      <c r="K96" s="7"/>
      <c r="L96" s="7"/>
      <c r="M96" s="386" t="s">
        <v>267</v>
      </c>
      <c r="N96" s="216">
        <v>2</v>
      </c>
      <c r="O96" s="217"/>
      <c r="P96" s="217"/>
      <c r="Q96" s="217"/>
      <c r="R96" s="217"/>
      <c r="S96" s="217"/>
      <c r="T96" s="218">
        <v>2</v>
      </c>
    </row>
    <row r="97" spans="2:20" x14ac:dyDescent="0.25">
      <c r="B97" s="386" t="s">
        <v>268</v>
      </c>
      <c r="C97" s="216">
        <v>1000000</v>
      </c>
      <c r="D97" s="217"/>
      <c r="E97" s="217"/>
      <c r="F97" s="217"/>
      <c r="G97" s="217"/>
      <c r="H97" s="217"/>
      <c r="I97" s="218">
        <v>1000000</v>
      </c>
      <c r="J97" s="7"/>
      <c r="K97" s="7"/>
      <c r="L97" s="7"/>
      <c r="M97" s="386" t="s">
        <v>268</v>
      </c>
      <c r="N97" s="216">
        <v>0</v>
      </c>
      <c r="O97" s="217"/>
      <c r="P97" s="217"/>
      <c r="Q97" s="217"/>
      <c r="R97" s="217"/>
      <c r="S97" s="217"/>
      <c r="T97" s="218">
        <v>0</v>
      </c>
    </row>
    <row r="98" spans="2:20" x14ac:dyDescent="0.25">
      <c r="B98" s="386" t="s">
        <v>269</v>
      </c>
      <c r="C98" s="216"/>
      <c r="D98" s="217">
        <v>0</v>
      </c>
      <c r="E98" s="217"/>
      <c r="F98" s="217"/>
      <c r="G98" s="217"/>
      <c r="H98" s="217"/>
      <c r="I98" s="218">
        <v>0</v>
      </c>
      <c r="J98" s="7"/>
      <c r="K98" s="7"/>
      <c r="L98" s="7"/>
      <c r="M98" s="386" t="s">
        <v>269</v>
      </c>
      <c r="N98" s="216"/>
      <c r="O98" s="217">
        <v>84650366.099999994</v>
      </c>
      <c r="P98" s="217"/>
      <c r="Q98" s="217"/>
      <c r="R98" s="217"/>
      <c r="S98" s="217"/>
      <c r="T98" s="218">
        <v>84650366.099999994</v>
      </c>
    </row>
    <row r="99" spans="2:20" x14ac:dyDescent="0.25">
      <c r="B99" s="386" t="s">
        <v>270</v>
      </c>
      <c r="C99" s="216"/>
      <c r="D99" s="217"/>
      <c r="E99" s="217"/>
      <c r="F99" s="217"/>
      <c r="G99" s="217">
        <v>0</v>
      </c>
      <c r="H99" s="217"/>
      <c r="I99" s="218">
        <v>0</v>
      </c>
      <c r="J99" s="7"/>
      <c r="K99" s="7"/>
      <c r="L99" s="7"/>
      <c r="M99" s="386" t="s">
        <v>270</v>
      </c>
      <c r="N99" s="216"/>
      <c r="O99" s="217"/>
      <c r="P99" s="217"/>
      <c r="Q99" s="217"/>
      <c r="R99" s="217">
        <v>268349392.5</v>
      </c>
      <c r="S99" s="217"/>
      <c r="T99" s="218">
        <v>268349392.5</v>
      </c>
    </row>
    <row r="100" spans="2:20" x14ac:dyDescent="0.25">
      <c r="B100" s="386" t="s">
        <v>273</v>
      </c>
      <c r="C100" s="216">
        <v>4185647</v>
      </c>
      <c r="D100" s="217"/>
      <c r="E100" s="217"/>
      <c r="F100" s="217"/>
      <c r="G100" s="217"/>
      <c r="H100" s="217"/>
      <c r="I100" s="218">
        <v>4185647</v>
      </c>
      <c r="J100" s="7"/>
      <c r="K100" s="7"/>
      <c r="L100" s="7"/>
      <c r="M100" s="386" t="s">
        <v>273</v>
      </c>
      <c r="N100" s="216">
        <v>1436453</v>
      </c>
      <c r="O100" s="217"/>
      <c r="P100" s="217"/>
      <c r="Q100" s="217"/>
      <c r="R100" s="217"/>
      <c r="S100" s="217"/>
      <c r="T100" s="218">
        <v>1436453</v>
      </c>
    </row>
    <row r="101" spans="2:20" x14ac:dyDescent="0.25">
      <c r="B101" s="386" t="s">
        <v>1007</v>
      </c>
      <c r="C101" s="216"/>
      <c r="D101" s="217"/>
      <c r="E101" s="217"/>
      <c r="F101" s="217">
        <v>39491465.219999999</v>
      </c>
      <c r="G101" s="217"/>
      <c r="H101" s="217"/>
      <c r="I101" s="218">
        <v>39491465.219999999</v>
      </c>
      <c r="J101" s="7"/>
      <c r="K101" s="7"/>
      <c r="L101" s="7"/>
      <c r="M101" s="386" t="s">
        <v>1007</v>
      </c>
      <c r="N101" s="216"/>
      <c r="O101" s="217"/>
      <c r="P101" s="217"/>
      <c r="Q101" s="217">
        <v>0</v>
      </c>
      <c r="R101" s="217"/>
      <c r="S101" s="217"/>
      <c r="T101" s="218">
        <v>0</v>
      </c>
    </row>
    <row r="102" spans="2:20" x14ac:dyDescent="0.25">
      <c r="B102" s="386" t="s">
        <v>277</v>
      </c>
      <c r="C102" s="216">
        <v>3000000</v>
      </c>
      <c r="D102" s="217"/>
      <c r="E102" s="217"/>
      <c r="F102" s="217"/>
      <c r="G102" s="217"/>
      <c r="H102" s="217"/>
      <c r="I102" s="218">
        <v>3000000</v>
      </c>
      <c r="J102" s="7"/>
      <c r="K102" s="7"/>
      <c r="L102" s="7"/>
      <c r="M102" s="386" t="s">
        <v>277</v>
      </c>
      <c r="N102" s="216">
        <v>0</v>
      </c>
      <c r="O102" s="217"/>
      <c r="P102" s="217"/>
      <c r="Q102" s="217"/>
      <c r="R102" s="217"/>
      <c r="S102" s="217"/>
      <c r="T102" s="218">
        <v>0</v>
      </c>
    </row>
    <row r="103" spans="2:20" x14ac:dyDescent="0.25">
      <c r="B103" s="386" t="s">
        <v>847</v>
      </c>
      <c r="C103" s="216"/>
      <c r="D103" s="217"/>
      <c r="E103" s="217"/>
      <c r="F103" s="217">
        <v>17000000</v>
      </c>
      <c r="G103" s="217"/>
      <c r="H103" s="217"/>
      <c r="I103" s="218">
        <v>17000000</v>
      </c>
      <c r="J103" s="7"/>
      <c r="K103" s="7"/>
      <c r="L103" s="7"/>
      <c r="M103" s="386" t="s">
        <v>847</v>
      </c>
      <c r="N103" s="216"/>
      <c r="O103" s="217"/>
      <c r="P103" s="217"/>
      <c r="Q103" s="217">
        <v>17043719.09</v>
      </c>
      <c r="R103" s="217"/>
      <c r="S103" s="217"/>
      <c r="T103" s="218">
        <v>17043719.09</v>
      </c>
    </row>
    <row r="104" spans="2:20" x14ac:dyDescent="0.25">
      <c r="B104" s="386" t="s">
        <v>929</v>
      </c>
      <c r="C104" s="216"/>
      <c r="D104" s="217"/>
      <c r="E104" s="217"/>
      <c r="F104" s="217"/>
      <c r="G104" s="217">
        <v>162629455.45000002</v>
      </c>
      <c r="H104" s="217"/>
      <c r="I104" s="218">
        <v>162629455.45000002</v>
      </c>
      <c r="J104" s="7"/>
      <c r="K104" s="7"/>
      <c r="L104" s="7"/>
      <c r="M104" s="386" t="s">
        <v>929</v>
      </c>
      <c r="N104" s="216"/>
      <c r="O104" s="217"/>
      <c r="P104" s="217"/>
      <c r="Q104" s="217"/>
      <c r="R104" s="217">
        <v>0</v>
      </c>
      <c r="S104" s="217"/>
      <c r="T104" s="218">
        <v>0</v>
      </c>
    </row>
    <row r="105" spans="2:20" x14ac:dyDescent="0.25">
      <c r="B105" s="391" t="s">
        <v>727</v>
      </c>
      <c r="C105" s="216">
        <v>18676.38</v>
      </c>
      <c r="D105" s="217"/>
      <c r="E105" s="217"/>
      <c r="F105" s="217"/>
      <c r="G105" s="217">
        <v>7494685</v>
      </c>
      <c r="H105" s="217"/>
      <c r="I105" s="218">
        <v>7513361.3799999999</v>
      </c>
      <c r="J105" s="7"/>
      <c r="K105" s="7"/>
      <c r="L105" s="7"/>
      <c r="M105" s="215" t="s">
        <v>727</v>
      </c>
      <c r="N105" s="216">
        <v>0</v>
      </c>
      <c r="O105" s="217"/>
      <c r="P105" s="217"/>
      <c r="Q105" s="217"/>
      <c r="R105" s="217">
        <v>0</v>
      </c>
      <c r="S105" s="217"/>
      <c r="T105" s="218">
        <v>0</v>
      </c>
    </row>
    <row r="106" spans="2:20" x14ac:dyDescent="0.25">
      <c r="B106" s="390" t="s">
        <v>258</v>
      </c>
      <c r="C106" s="216"/>
      <c r="D106" s="217"/>
      <c r="E106" s="217"/>
      <c r="F106" s="217"/>
      <c r="G106" s="217">
        <v>7494685</v>
      </c>
      <c r="H106" s="217"/>
      <c r="I106" s="218">
        <v>7494685</v>
      </c>
      <c r="J106" s="7"/>
      <c r="K106" s="7"/>
      <c r="L106" s="7"/>
      <c r="M106" s="390" t="s">
        <v>258</v>
      </c>
      <c r="N106" s="216"/>
      <c r="O106" s="217"/>
      <c r="P106" s="217"/>
      <c r="Q106" s="217"/>
      <c r="R106" s="217">
        <v>0</v>
      </c>
      <c r="S106" s="217"/>
      <c r="T106" s="218">
        <v>0</v>
      </c>
    </row>
    <row r="107" spans="2:20" x14ac:dyDescent="0.25">
      <c r="B107" s="390" t="s">
        <v>261</v>
      </c>
      <c r="C107" s="216">
        <v>18676.38</v>
      </c>
      <c r="D107" s="217"/>
      <c r="E107" s="217"/>
      <c r="F107" s="217"/>
      <c r="G107" s="217"/>
      <c r="H107" s="217"/>
      <c r="I107" s="218">
        <v>18676.38</v>
      </c>
      <c r="J107" s="7"/>
      <c r="K107" s="7"/>
      <c r="L107" s="7"/>
      <c r="M107" s="390" t="s">
        <v>261</v>
      </c>
      <c r="N107" s="216">
        <v>0</v>
      </c>
      <c r="O107" s="217"/>
      <c r="P107" s="217"/>
      <c r="Q107" s="217"/>
      <c r="R107" s="217"/>
      <c r="S107" s="217"/>
      <c r="T107" s="218">
        <v>0</v>
      </c>
    </row>
    <row r="108" spans="2:20" x14ac:dyDescent="0.25">
      <c r="B108" s="219" t="s">
        <v>254</v>
      </c>
      <c r="C108" s="220">
        <v>105701527.16</v>
      </c>
      <c r="D108" s="221">
        <v>149636456.48000002</v>
      </c>
      <c r="E108" s="221">
        <v>25482777.530000001</v>
      </c>
      <c r="F108" s="221">
        <v>412989744.73000002</v>
      </c>
      <c r="G108" s="221">
        <v>235843510.26000002</v>
      </c>
      <c r="H108" s="221">
        <v>294800</v>
      </c>
      <c r="I108" s="311">
        <v>929948816.15999997</v>
      </c>
      <c r="J108" s="7"/>
      <c r="K108" s="7"/>
      <c r="L108" s="7"/>
      <c r="M108" s="219" t="s">
        <v>254</v>
      </c>
      <c r="N108" s="220">
        <v>25098140.73</v>
      </c>
      <c r="O108" s="221">
        <v>176369397.23999998</v>
      </c>
      <c r="P108" s="221">
        <v>1</v>
      </c>
      <c r="Q108" s="221">
        <v>402642370.49999994</v>
      </c>
      <c r="R108" s="221">
        <v>390887120.39999998</v>
      </c>
      <c r="S108" s="221">
        <v>0</v>
      </c>
      <c r="T108" s="312">
        <v>994997029.87</v>
      </c>
    </row>
  </sheetData>
  <pageMargins left="0.25" right="0.25" top="0.75" bottom="0.75" header="0.3" footer="0.3"/>
  <pageSetup paperSize="9" orientation="landscape"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4F1D6-46AB-4663-89AB-0323D3BAF154}">
  <sheetPr codeName="Hoja5">
    <tabColor theme="0" tint="-0.499984740745262"/>
  </sheetPr>
  <dimension ref="A1:Y1436"/>
  <sheetViews>
    <sheetView tabSelected="1" topLeftCell="H1" zoomScaleNormal="100" workbookViewId="0">
      <selection activeCell="R521" sqref="R521"/>
    </sheetView>
  </sheetViews>
  <sheetFormatPr baseColWidth="10" defaultColWidth="11.42578125" defaultRowHeight="15" x14ac:dyDescent="0.25"/>
  <cols>
    <col min="1" max="1" width="8.42578125" customWidth="1"/>
    <col min="2" max="2" width="11.28515625" customWidth="1"/>
    <col min="3" max="3" width="27" customWidth="1"/>
    <col min="4" max="4" width="15.140625" customWidth="1"/>
    <col min="5" max="5" width="18.28515625" customWidth="1"/>
    <col min="6" max="6" width="19.140625" customWidth="1"/>
    <col min="7" max="7" width="17.5703125" customWidth="1"/>
    <col min="8" max="8" width="15.85546875" customWidth="1"/>
    <col min="9" max="9" width="13" customWidth="1"/>
    <col min="10" max="11" width="16.42578125" customWidth="1"/>
    <col min="12" max="12" width="5.85546875" customWidth="1"/>
    <col min="13" max="13" width="4.85546875" customWidth="1"/>
    <col min="14" max="14" width="7.7109375" customWidth="1"/>
    <col min="15" max="15" width="12.85546875" customWidth="1"/>
    <col min="16" max="16" width="12" customWidth="1"/>
    <col min="17" max="17" width="14.28515625" customWidth="1"/>
    <col min="18" max="18" width="17.140625" customWidth="1"/>
    <col min="19" max="19" width="15.140625" customWidth="1"/>
    <col min="20" max="20" width="11.42578125" customWidth="1"/>
    <col min="21" max="21" width="17.5703125" customWidth="1"/>
    <col min="22" max="22" width="11.42578125" customWidth="1"/>
    <col min="23" max="23" width="6.7109375" customWidth="1"/>
    <col min="24" max="24" width="18.85546875" customWidth="1"/>
    <col min="25" max="25" width="26.28515625" customWidth="1"/>
  </cols>
  <sheetData>
    <row r="1" spans="1:25" ht="30.75" customHeight="1" x14ac:dyDescent="0.25">
      <c r="A1" s="13">
        <v>2025</v>
      </c>
      <c r="C1" s="120" t="s">
        <v>278</v>
      </c>
      <c r="D1" s="138">
        <v>-5367763.6099999994</v>
      </c>
      <c r="E1" s="345" t="s">
        <v>279</v>
      </c>
      <c r="F1" s="346">
        <v>0</v>
      </c>
      <c r="G1" s="346">
        <f>G2+D1</f>
        <v>-53579594.920000002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5" ht="30.75" customHeight="1" x14ac:dyDescent="0.25">
      <c r="A2" s="13"/>
      <c r="B2" s="7"/>
      <c r="C2" s="7"/>
      <c r="E2" s="314">
        <f>SUBTOTAL(9,Tabla3[EGRESOS])</f>
        <v>48211831.310000002</v>
      </c>
      <c r="F2" s="313">
        <f>SUBTOTAL(9,Tabla3[INGRESOS])</f>
        <v>0</v>
      </c>
      <c r="G2" s="118">
        <f>F2-E2</f>
        <v>-48211831.310000002</v>
      </c>
      <c r="H2" s="118"/>
      <c r="I2" s="7"/>
      <c r="J2" s="263">
        <f>SUBTOTAL(9,Tabla3[EGRES USD])</f>
        <v>40934.269568825905</v>
      </c>
      <c r="K2" s="263">
        <f>SUBTOTAL(9,Tabla3[INGRES USD])</f>
        <v>0</v>
      </c>
      <c r="L2" s="7"/>
      <c r="M2" s="7"/>
      <c r="N2" s="7"/>
      <c r="O2" s="7"/>
      <c r="P2" s="126"/>
      <c r="Q2" s="7"/>
      <c r="R2" s="7"/>
      <c r="S2" s="7"/>
      <c r="T2" s="7"/>
      <c r="U2" s="7"/>
      <c r="V2" s="7"/>
      <c r="W2" s="7"/>
    </row>
    <row r="3" spans="1:25" x14ac:dyDescent="0.25">
      <c r="A3" s="12" t="s">
        <v>280</v>
      </c>
      <c r="B3" s="12" t="s">
        <v>281</v>
      </c>
      <c r="C3" s="12" t="s">
        <v>282</v>
      </c>
      <c r="D3" s="12" t="s">
        <v>283</v>
      </c>
      <c r="E3" s="12" t="s">
        <v>98</v>
      </c>
      <c r="F3" s="12" t="s">
        <v>96</v>
      </c>
      <c r="G3" s="12" t="s">
        <v>284</v>
      </c>
      <c r="H3" s="12" t="s">
        <v>285</v>
      </c>
      <c r="I3" s="12" t="s">
        <v>286</v>
      </c>
      <c r="J3" s="12" t="s">
        <v>287</v>
      </c>
      <c r="K3" s="12" t="s">
        <v>288</v>
      </c>
      <c r="L3" s="12" t="s">
        <v>289</v>
      </c>
      <c r="M3" s="12" t="s">
        <v>290</v>
      </c>
      <c r="N3" s="12" t="s">
        <v>291</v>
      </c>
      <c r="O3" s="12" t="s">
        <v>292</v>
      </c>
      <c r="P3" s="12" t="s">
        <v>293</v>
      </c>
      <c r="Q3" s="12" t="s">
        <v>294</v>
      </c>
      <c r="R3" s="12" t="s">
        <v>295</v>
      </c>
      <c r="S3" s="12" t="s">
        <v>296</v>
      </c>
      <c r="T3" s="12" t="s">
        <v>297</v>
      </c>
      <c r="U3" s="12" t="s">
        <v>298</v>
      </c>
      <c r="V3" s="12" t="s">
        <v>299</v>
      </c>
      <c r="W3" s="12" t="s">
        <v>300</v>
      </c>
      <c r="X3" s="12" t="s">
        <v>301</v>
      </c>
      <c r="Y3" s="12" t="s">
        <v>302</v>
      </c>
    </row>
    <row r="4" spans="1:25" hidden="1" x14ac:dyDescent="0.25">
      <c r="A4" s="256" t="s">
        <v>183</v>
      </c>
      <c r="B4" s="257">
        <v>45660</v>
      </c>
      <c r="C4" s="250" t="s">
        <v>309</v>
      </c>
      <c r="D4" s="250"/>
      <c r="E4" s="258">
        <v>3100000</v>
      </c>
      <c r="F4" s="258">
        <v>0</v>
      </c>
      <c r="G4" s="276">
        <f>Tabla3[[#This Row],[INGRESOS]]-Tabla3[[#This Row],[EGRESOS]]</f>
        <v>-3100000</v>
      </c>
      <c r="H4" s="132"/>
      <c r="I4" s="119">
        <v>1140</v>
      </c>
      <c r="J4" s="99">
        <f>Tabla3[[#This Row],[EGRESOS]]/Tabla3[[#This Row],[TC]]</f>
        <v>2719.2982456140353</v>
      </c>
      <c r="K4" s="99">
        <f>Tabla3[[#This Row],[INGRESOS]]/Tabla3[[#This Row],[TC]]</f>
        <v>0</v>
      </c>
      <c r="L4" s="7" t="s">
        <v>303</v>
      </c>
      <c r="M4" s="7" t="s">
        <v>304</v>
      </c>
      <c r="N4" s="7" t="s">
        <v>25</v>
      </c>
      <c r="O4" s="7" t="s">
        <v>214</v>
      </c>
      <c r="P4" s="7" t="s">
        <v>216</v>
      </c>
      <c r="Q4" s="7" t="s">
        <v>217</v>
      </c>
      <c r="R4" s="7" t="s">
        <v>305</v>
      </c>
      <c r="S4" s="7"/>
      <c r="T4" s="7"/>
      <c r="U4" s="7" t="s">
        <v>262</v>
      </c>
      <c r="V4" s="7"/>
      <c r="W4" s="7" t="s">
        <v>306</v>
      </c>
      <c r="X4" s="7"/>
      <c r="Y4" s="7"/>
    </row>
    <row r="5" spans="1:25" hidden="1" x14ac:dyDescent="0.25">
      <c r="A5" s="256" t="s">
        <v>183</v>
      </c>
      <c r="B5" s="257">
        <v>45660</v>
      </c>
      <c r="C5" s="250" t="s">
        <v>309</v>
      </c>
      <c r="D5" s="250"/>
      <c r="E5" s="258">
        <v>1000000</v>
      </c>
      <c r="F5" s="258">
        <v>0</v>
      </c>
      <c r="G5" s="276">
        <f>Tabla3[[#This Row],[INGRESOS]]-Tabla3[[#This Row],[EGRESOS]]</f>
        <v>-1000000</v>
      </c>
      <c r="H5" s="137">
        <v>-4370577.21</v>
      </c>
      <c r="I5" s="119">
        <v>1140</v>
      </c>
      <c r="J5" s="99">
        <f>Tabla3[[#This Row],[EGRESOS]]/Tabla3[[#This Row],[TC]]</f>
        <v>877.19298245614038</v>
      </c>
      <c r="K5" s="99">
        <f>Tabla3[[#This Row],[INGRESOS]]/Tabla3[[#This Row],[TC]]</f>
        <v>0</v>
      </c>
      <c r="L5" s="7" t="s">
        <v>303</v>
      </c>
      <c r="M5" s="7" t="s">
        <v>304</v>
      </c>
      <c r="N5" s="7" t="s">
        <v>25</v>
      </c>
      <c r="O5" s="7" t="s">
        <v>214</v>
      </c>
      <c r="P5" s="7" t="s">
        <v>216</v>
      </c>
      <c r="Q5" s="7" t="s">
        <v>217</v>
      </c>
      <c r="R5" s="7" t="s">
        <v>305</v>
      </c>
      <c r="S5" s="7"/>
      <c r="T5" s="7"/>
      <c r="U5" s="7" t="s">
        <v>262</v>
      </c>
      <c r="V5" s="7"/>
      <c r="W5" s="7" t="s">
        <v>306</v>
      </c>
      <c r="X5" s="7"/>
      <c r="Y5" s="7"/>
    </row>
    <row r="6" spans="1:25" s="7" customFormat="1" hidden="1" x14ac:dyDescent="0.25">
      <c r="A6" s="256" t="s">
        <v>183</v>
      </c>
      <c r="B6" s="257">
        <v>45665</v>
      </c>
      <c r="C6" s="250" t="s">
        <v>307</v>
      </c>
      <c r="D6" s="250"/>
      <c r="E6" s="258">
        <v>8728.74</v>
      </c>
      <c r="F6" s="258">
        <v>0</v>
      </c>
      <c r="G6" s="276">
        <f>Tabla3[[#This Row],[INGRESOS]]-Tabla3[[#This Row],[EGRESOS]]</f>
        <v>-8728.74</v>
      </c>
      <c r="H6" s="134"/>
      <c r="I6" s="119">
        <v>1140</v>
      </c>
      <c r="J6" s="99">
        <f>Tabla3[[#This Row],[EGRESOS]]/Tabla3[[#This Row],[TC]]</f>
        <v>7.6567894736842099</v>
      </c>
      <c r="K6" s="99">
        <f>Tabla3[[#This Row],[INGRESOS]]/Tabla3[[#This Row],[TC]]</f>
        <v>0</v>
      </c>
      <c r="L6" s="7" t="s">
        <v>303</v>
      </c>
      <c r="M6" s="7" t="s">
        <v>304</v>
      </c>
      <c r="N6" s="7" t="s">
        <v>25</v>
      </c>
      <c r="O6" s="7" t="s">
        <v>184</v>
      </c>
      <c r="P6" s="7" t="s">
        <v>187</v>
      </c>
      <c r="Q6" s="7" t="s">
        <v>188</v>
      </c>
      <c r="R6" s="7" t="s">
        <v>308</v>
      </c>
      <c r="U6" s="7" t="s">
        <v>261</v>
      </c>
      <c r="W6" s="7" t="s">
        <v>306</v>
      </c>
      <c r="X6" s="7" t="s">
        <v>98</v>
      </c>
      <c r="Y6" s="7" t="s">
        <v>23</v>
      </c>
    </row>
    <row r="7" spans="1:25" s="7" customFormat="1" hidden="1" x14ac:dyDescent="0.25">
      <c r="A7" s="256" t="s">
        <v>183</v>
      </c>
      <c r="B7" s="257">
        <v>45665</v>
      </c>
      <c r="C7" s="250" t="s">
        <v>309</v>
      </c>
      <c r="D7" s="250"/>
      <c r="E7" s="258">
        <v>200000</v>
      </c>
      <c r="F7" s="258">
        <v>0</v>
      </c>
      <c r="G7" s="276">
        <f>Tabla3[[#This Row],[INGRESOS]]-Tabla3[[#This Row],[EGRESOS]]</f>
        <v>-200000</v>
      </c>
      <c r="H7" s="134"/>
      <c r="I7" s="119">
        <v>1140</v>
      </c>
      <c r="J7" s="99">
        <f>Tabla3[[#This Row],[EGRESOS]]/Tabla3[[#This Row],[TC]]</f>
        <v>175.43859649122808</v>
      </c>
      <c r="K7" s="99">
        <f>Tabla3[[#This Row],[INGRESOS]]/Tabla3[[#This Row],[TC]]</f>
        <v>0</v>
      </c>
      <c r="L7" s="7" t="s">
        <v>303</v>
      </c>
      <c r="M7" s="7" t="s">
        <v>304</v>
      </c>
      <c r="N7" s="7" t="s">
        <v>25</v>
      </c>
      <c r="O7" s="7" t="s">
        <v>184</v>
      </c>
      <c r="P7" s="7" t="s">
        <v>194</v>
      </c>
      <c r="Q7" s="7" t="s">
        <v>196</v>
      </c>
      <c r="R7" s="7" t="s">
        <v>310</v>
      </c>
      <c r="S7" s="7" t="s">
        <v>311</v>
      </c>
      <c r="U7" s="7" t="s">
        <v>277</v>
      </c>
      <c r="V7" s="7" t="s">
        <v>311</v>
      </c>
      <c r="W7" s="7" t="s">
        <v>306</v>
      </c>
      <c r="X7" s="44" t="s">
        <v>103</v>
      </c>
      <c r="Y7" s="7" t="s">
        <v>23</v>
      </c>
    </row>
    <row r="8" spans="1:25" s="7" customFormat="1" hidden="1" x14ac:dyDescent="0.25">
      <c r="A8" s="256" t="s">
        <v>183</v>
      </c>
      <c r="B8" s="257">
        <v>45665</v>
      </c>
      <c r="C8" s="250" t="s">
        <v>309</v>
      </c>
      <c r="D8" s="250"/>
      <c r="E8" s="258">
        <v>812400</v>
      </c>
      <c r="F8" s="258">
        <v>0</v>
      </c>
      <c r="G8" s="276">
        <f>Tabla3[[#This Row],[INGRESOS]]-Tabla3[[#This Row],[EGRESOS]]</f>
        <v>-812400</v>
      </c>
      <c r="H8" s="134"/>
      <c r="I8" s="119">
        <v>1140</v>
      </c>
      <c r="J8" s="99">
        <f>Tabla3[[#This Row],[EGRESOS]]/Tabla3[[#This Row],[TC]]</f>
        <v>712.63157894736844</v>
      </c>
      <c r="K8" s="99">
        <f>Tabla3[[#This Row],[INGRESOS]]/Tabla3[[#This Row],[TC]]</f>
        <v>0</v>
      </c>
      <c r="L8" s="7" t="s">
        <v>303</v>
      </c>
      <c r="M8" s="7" t="s">
        <v>304</v>
      </c>
      <c r="N8" s="7" t="s">
        <v>25</v>
      </c>
      <c r="O8" s="7" t="s">
        <v>184</v>
      </c>
      <c r="P8" s="7" t="s">
        <v>191</v>
      </c>
      <c r="Q8" s="7" t="s">
        <v>193</v>
      </c>
      <c r="R8" s="7" t="s">
        <v>312</v>
      </c>
      <c r="S8" s="7" t="s">
        <v>313</v>
      </c>
      <c r="U8" s="7" t="s">
        <v>266</v>
      </c>
      <c r="W8" s="7" t="s">
        <v>306</v>
      </c>
      <c r="X8" s="7" t="s">
        <v>98</v>
      </c>
      <c r="Y8" s="7" t="s">
        <v>23</v>
      </c>
    </row>
    <row r="9" spans="1:25" s="7" customFormat="1" hidden="1" x14ac:dyDescent="0.25">
      <c r="A9" s="256" t="s">
        <v>183</v>
      </c>
      <c r="B9" s="257">
        <v>45665</v>
      </c>
      <c r="C9" s="250" t="s">
        <v>309</v>
      </c>
      <c r="D9" s="250"/>
      <c r="E9" s="258">
        <v>442389.74</v>
      </c>
      <c r="F9" s="258">
        <v>0</v>
      </c>
      <c r="G9" s="276">
        <f>Tabla3[[#This Row],[INGRESOS]]-Tabla3[[#This Row],[EGRESOS]]</f>
        <v>-442389.74</v>
      </c>
      <c r="H9" s="134"/>
      <c r="I9" s="119">
        <v>1140</v>
      </c>
      <c r="J9" s="99">
        <f>Tabla3[[#This Row],[EGRESOS]]/Tabla3[[#This Row],[TC]]</f>
        <v>388.06117543859648</v>
      </c>
      <c r="K9" s="99">
        <f>Tabla3[[#This Row],[INGRESOS]]/Tabla3[[#This Row],[TC]]</f>
        <v>0</v>
      </c>
      <c r="L9" s="7" t="s">
        <v>303</v>
      </c>
      <c r="M9" s="7" t="s">
        <v>304</v>
      </c>
      <c r="N9" s="7" t="s">
        <v>25</v>
      </c>
      <c r="O9" s="7" t="s">
        <v>184</v>
      </c>
      <c r="P9" s="7" t="s">
        <v>191</v>
      </c>
      <c r="Q9" s="7" t="s">
        <v>193</v>
      </c>
      <c r="R9" s="7" t="s">
        <v>314</v>
      </c>
      <c r="S9" s="7" t="s">
        <v>315</v>
      </c>
      <c r="U9" s="7" t="s">
        <v>266</v>
      </c>
      <c r="W9" s="7" t="s">
        <v>306</v>
      </c>
      <c r="X9" s="7" t="s">
        <v>98</v>
      </c>
      <c r="Y9" s="7" t="s">
        <v>23</v>
      </c>
    </row>
    <row r="10" spans="1:25" s="7" customFormat="1" hidden="1" x14ac:dyDescent="0.25">
      <c r="A10" s="256" t="s">
        <v>183</v>
      </c>
      <c r="B10" s="257">
        <v>45666</v>
      </c>
      <c r="C10" s="250" t="s">
        <v>309</v>
      </c>
      <c r="D10" s="250"/>
      <c r="E10" s="258">
        <v>500000</v>
      </c>
      <c r="F10" s="258">
        <v>0</v>
      </c>
      <c r="G10" s="276">
        <f>Tabla3[[#This Row],[INGRESOS]]-Tabla3[[#This Row],[EGRESOS]]</f>
        <v>-500000</v>
      </c>
      <c r="H10" s="134"/>
      <c r="I10" s="119">
        <v>1140</v>
      </c>
      <c r="J10" s="99">
        <f>Tabla3[[#This Row],[EGRESOS]]/Tabla3[[#This Row],[TC]]</f>
        <v>438.59649122807019</v>
      </c>
      <c r="K10" s="99">
        <f>Tabla3[[#This Row],[INGRESOS]]/Tabla3[[#This Row],[TC]]</f>
        <v>0</v>
      </c>
      <c r="L10" s="7" t="s">
        <v>303</v>
      </c>
      <c r="M10" s="7" t="s">
        <v>304</v>
      </c>
      <c r="N10" s="7" t="s">
        <v>25</v>
      </c>
      <c r="O10" s="7" t="s">
        <v>214</v>
      </c>
      <c r="P10" s="7" t="s">
        <v>216</v>
      </c>
      <c r="Q10" s="7" t="s">
        <v>217</v>
      </c>
      <c r="R10" s="7" t="s">
        <v>316</v>
      </c>
      <c r="U10" s="7" t="s">
        <v>262</v>
      </c>
      <c r="W10" s="7" t="s">
        <v>306</v>
      </c>
    </row>
    <row r="11" spans="1:25" s="7" customFormat="1" hidden="1" x14ac:dyDescent="0.25">
      <c r="A11" s="256" t="s">
        <v>183</v>
      </c>
      <c r="B11" s="257">
        <v>45667</v>
      </c>
      <c r="C11" s="250" t="s">
        <v>307</v>
      </c>
      <c r="D11" s="250"/>
      <c r="E11" s="258">
        <v>1800</v>
      </c>
      <c r="F11" s="258">
        <v>0</v>
      </c>
      <c r="G11" s="276">
        <f>Tabla3[[#This Row],[INGRESOS]]-Tabla3[[#This Row],[EGRESOS]]</f>
        <v>-1800</v>
      </c>
      <c r="H11" s="132"/>
      <c r="I11" s="119">
        <v>1140</v>
      </c>
      <c r="J11" s="99">
        <f>Tabla3[[#This Row],[EGRESOS]]/Tabla3[[#This Row],[TC]]</f>
        <v>1.5789473684210527</v>
      </c>
      <c r="K11" s="99">
        <f>Tabla3[[#This Row],[INGRESOS]]/Tabla3[[#This Row],[TC]]</f>
        <v>0</v>
      </c>
      <c r="L11" s="7" t="s">
        <v>303</v>
      </c>
      <c r="M11" s="7" t="s">
        <v>304</v>
      </c>
      <c r="N11" s="7" t="s">
        <v>25</v>
      </c>
      <c r="O11" s="7" t="s">
        <v>184</v>
      </c>
      <c r="P11" s="7" t="s">
        <v>187</v>
      </c>
      <c r="Q11" s="7" t="s">
        <v>188</v>
      </c>
      <c r="R11" s="7" t="s">
        <v>317</v>
      </c>
      <c r="U11" s="7" t="s">
        <v>261</v>
      </c>
      <c r="W11" s="7" t="s">
        <v>306</v>
      </c>
      <c r="X11" s="7" t="s">
        <v>98</v>
      </c>
      <c r="Y11" s="7" t="s">
        <v>23</v>
      </c>
    </row>
    <row r="12" spans="1:25" s="7" customFormat="1" hidden="1" x14ac:dyDescent="0.25">
      <c r="A12" s="256" t="s">
        <v>183</v>
      </c>
      <c r="B12" s="257">
        <v>45667</v>
      </c>
      <c r="C12" s="250" t="s">
        <v>309</v>
      </c>
      <c r="D12" s="250"/>
      <c r="E12" s="258">
        <v>300000</v>
      </c>
      <c r="F12" s="258">
        <v>0</v>
      </c>
      <c r="G12" s="276">
        <f>Tabla3[[#This Row],[INGRESOS]]-Tabla3[[#This Row],[EGRESOS]]</f>
        <v>-300000</v>
      </c>
      <c r="H12" s="137">
        <v>-6635895.6900000004</v>
      </c>
      <c r="I12" s="119">
        <v>1140</v>
      </c>
      <c r="J12" s="99">
        <f>Tabla3[[#This Row],[EGRESOS]]/Tabla3[[#This Row],[TC]]</f>
        <v>263.15789473684208</v>
      </c>
      <c r="K12" s="99">
        <f>Tabla3[[#This Row],[INGRESOS]]/Tabla3[[#This Row],[TC]]</f>
        <v>0</v>
      </c>
      <c r="L12" s="7" t="s">
        <v>303</v>
      </c>
      <c r="M12" s="7" t="s">
        <v>304</v>
      </c>
      <c r="N12" s="7" t="s">
        <v>25</v>
      </c>
      <c r="O12" s="7" t="s">
        <v>184</v>
      </c>
      <c r="P12" s="7" t="s">
        <v>194</v>
      </c>
      <c r="Q12" s="7" t="s">
        <v>196</v>
      </c>
      <c r="R12" s="7" t="s">
        <v>318</v>
      </c>
      <c r="S12" s="7" t="s">
        <v>311</v>
      </c>
      <c r="U12" s="7" t="s">
        <v>277</v>
      </c>
      <c r="V12" s="7" t="s">
        <v>311</v>
      </c>
      <c r="W12" s="7" t="s">
        <v>306</v>
      </c>
      <c r="X12" s="7" t="s">
        <v>103</v>
      </c>
      <c r="Y12" s="7" t="s">
        <v>23</v>
      </c>
    </row>
    <row r="13" spans="1:25" s="7" customFormat="1" hidden="1" x14ac:dyDescent="0.25">
      <c r="A13" s="256" t="s">
        <v>183</v>
      </c>
      <c r="B13" s="257">
        <v>45673</v>
      </c>
      <c r="C13" s="250" t="s">
        <v>309</v>
      </c>
      <c r="D13" s="250"/>
      <c r="E13" s="258">
        <v>500000</v>
      </c>
      <c r="F13" s="258">
        <v>0</v>
      </c>
      <c r="G13" s="276">
        <f>Tabla3[[#This Row],[INGRESOS]]-Tabla3[[#This Row],[EGRESOS]]</f>
        <v>-500000</v>
      </c>
      <c r="H13" s="137">
        <v>-7135895.6900000004</v>
      </c>
      <c r="I13" s="119">
        <v>1140</v>
      </c>
      <c r="J13" s="99">
        <f>Tabla3[[#This Row],[EGRESOS]]/Tabla3[[#This Row],[TC]]</f>
        <v>438.59649122807019</v>
      </c>
      <c r="K13" s="99">
        <f>Tabla3[[#This Row],[INGRESOS]]/Tabla3[[#This Row],[TC]]</f>
        <v>0</v>
      </c>
      <c r="L13" s="7" t="s">
        <v>303</v>
      </c>
      <c r="M13" s="7" t="s">
        <v>304</v>
      </c>
      <c r="N13" s="7" t="s">
        <v>25</v>
      </c>
      <c r="O13" s="7" t="s">
        <v>214</v>
      </c>
      <c r="P13" s="7" t="s">
        <v>216</v>
      </c>
      <c r="Q13" s="7" t="s">
        <v>217</v>
      </c>
      <c r="R13" s="7" t="s">
        <v>316</v>
      </c>
      <c r="U13" s="7" t="s">
        <v>262</v>
      </c>
      <c r="W13" s="7" t="s">
        <v>306</v>
      </c>
    </row>
    <row r="14" spans="1:25" s="7" customFormat="1" hidden="1" x14ac:dyDescent="0.25">
      <c r="A14" s="256" t="s">
        <v>183</v>
      </c>
      <c r="B14" s="257">
        <v>45674</v>
      </c>
      <c r="C14" s="250" t="s">
        <v>309</v>
      </c>
      <c r="D14" s="250"/>
      <c r="E14" s="258">
        <v>600000</v>
      </c>
      <c r="F14" s="258">
        <v>0</v>
      </c>
      <c r="G14" s="276">
        <f>Tabla3[[#This Row],[INGRESOS]]-Tabla3[[#This Row],[EGRESOS]]</f>
        <v>-600000</v>
      </c>
      <c r="H14" s="137">
        <v>-7735895.6900000004</v>
      </c>
      <c r="I14" s="119">
        <v>1140</v>
      </c>
      <c r="J14" s="99">
        <f>Tabla3[[#This Row],[EGRESOS]]/Tabla3[[#This Row],[TC]]</f>
        <v>526.31578947368416</v>
      </c>
      <c r="K14" s="99">
        <f>Tabla3[[#This Row],[INGRESOS]]/Tabla3[[#This Row],[TC]]</f>
        <v>0</v>
      </c>
      <c r="L14" s="7" t="s">
        <v>303</v>
      </c>
      <c r="M14" s="7" t="s">
        <v>304</v>
      </c>
      <c r="N14" s="7" t="s">
        <v>25</v>
      </c>
      <c r="O14" s="7" t="s">
        <v>214</v>
      </c>
      <c r="P14" s="7" t="s">
        <v>216</v>
      </c>
      <c r="Q14" s="7" t="s">
        <v>217</v>
      </c>
      <c r="R14" s="7" t="s">
        <v>316</v>
      </c>
      <c r="U14" s="7" t="s">
        <v>262</v>
      </c>
      <c r="W14" s="7" t="s">
        <v>306</v>
      </c>
    </row>
    <row r="15" spans="1:25" s="7" customFormat="1" hidden="1" x14ac:dyDescent="0.25">
      <c r="A15" s="256" t="s">
        <v>183</v>
      </c>
      <c r="B15" s="259">
        <v>45677</v>
      </c>
      <c r="C15" s="250" t="s">
        <v>309</v>
      </c>
      <c r="D15" s="250"/>
      <c r="E15" s="258">
        <f>907177.79-E16-E17</f>
        <v>401128</v>
      </c>
      <c r="F15" s="258">
        <v>0</v>
      </c>
      <c r="G15" s="276">
        <f>Tabla3[[#This Row],[INGRESOS]]-Tabla3[[#This Row],[EGRESOS]]</f>
        <v>-401128</v>
      </c>
      <c r="H15" s="137"/>
      <c r="I15" s="119">
        <v>1140</v>
      </c>
      <c r="J15" s="99">
        <f>Tabla3[[#This Row],[EGRESOS]]/Tabla3[[#This Row],[TC]]</f>
        <v>351.86666666666667</v>
      </c>
      <c r="K15" s="99">
        <f>Tabla3[[#This Row],[INGRESOS]]/Tabla3[[#This Row],[TC]]</f>
        <v>0</v>
      </c>
      <c r="L15" s="7" t="s">
        <v>303</v>
      </c>
      <c r="M15" s="7" t="s">
        <v>304</v>
      </c>
      <c r="N15" s="7" t="s">
        <v>25</v>
      </c>
      <c r="O15" s="7" t="s">
        <v>197</v>
      </c>
      <c r="P15" s="7" t="s">
        <v>198</v>
      </c>
      <c r="Q15" s="7" t="s">
        <v>199</v>
      </c>
      <c r="R15" s="7" t="s">
        <v>226</v>
      </c>
      <c r="S15" s="7" t="s">
        <v>319</v>
      </c>
      <c r="U15" s="7" t="s">
        <v>257</v>
      </c>
      <c r="W15" s="7" t="s">
        <v>306</v>
      </c>
      <c r="X15" s="7" t="s">
        <v>29</v>
      </c>
      <c r="Y15" s="7" t="s">
        <v>23</v>
      </c>
    </row>
    <row r="16" spans="1:25" s="7" customFormat="1" hidden="1" x14ac:dyDescent="0.25">
      <c r="A16" s="256" t="s">
        <v>183</v>
      </c>
      <c r="B16" s="259">
        <v>45677</v>
      </c>
      <c r="C16" s="250" t="s">
        <v>309</v>
      </c>
      <c r="D16" s="250"/>
      <c r="E16" s="258">
        <v>106049.79</v>
      </c>
      <c r="F16" s="258">
        <v>0</v>
      </c>
      <c r="G16" s="276">
        <f>Tabla3[[#This Row],[INGRESOS]]-Tabla3[[#This Row],[EGRESOS]]</f>
        <v>-106049.79</v>
      </c>
      <c r="H16" s="137"/>
      <c r="I16" s="119">
        <v>1140</v>
      </c>
      <c r="J16" s="99">
        <f>Tabla3[[#This Row],[EGRESOS]]/Tabla3[[#This Row],[TC]]</f>
        <v>93.026131578947357</v>
      </c>
      <c r="K16" s="99">
        <f>Tabla3[[#This Row],[INGRESOS]]/Tabla3[[#This Row],[TC]]</f>
        <v>0</v>
      </c>
      <c r="L16" s="7" t="s">
        <v>303</v>
      </c>
      <c r="M16" s="7" t="s">
        <v>304</v>
      </c>
      <c r="N16" s="7" t="s">
        <v>25</v>
      </c>
      <c r="O16" s="7" t="s">
        <v>184</v>
      </c>
      <c r="P16" s="7" t="s">
        <v>194</v>
      </c>
      <c r="Q16" s="7" t="s">
        <v>196</v>
      </c>
      <c r="R16" s="7" t="s">
        <v>320</v>
      </c>
      <c r="S16" s="7" t="s">
        <v>311</v>
      </c>
      <c r="U16" s="7" t="s">
        <v>277</v>
      </c>
      <c r="V16" s="7" t="s">
        <v>311</v>
      </c>
      <c r="W16" s="7" t="s">
        <v>306</v>
      </c>
      <c r="X16" s="7" t="s">
        <v>103</v>
      </c>
      <c r="Y16" s="7" t="s">
        <v>23</v>
      </c>
    </row>
    <row r="17" spans="1:25" s="7" customFormat="1" hidden="1" x14ac:dyDescent="0.25">
      <c r="A17" s="256" t="s">
        <v>183</v>
      </c>
      <c r="B17" s="259">
        <v>45677</v>
      </c>
      <c r="C17" s="250" t="s">
        <v>309</v>
      </c>
      <c r="D17" s="250"/>
      <c r="E17" s="258">
        <v>400000</v>
      </c>
      <c r="F17" s="258">
        <v>0</v>
      </c>
      <c r="G17" s="276">
        <f>Tabla3[[#This Row],[INGRESOS]]-Tabla3[[#This Row],[EGRESOS]]</f>
        <v>-400000</v>
      </c>
      <c r="H17" s="137"/>
      <c r="I17" s="119">
        <v>1140</v>
      </c>
      <c r="J17" s="99">
        <f>Tabla3[[#This Row],[EGRESOS]]/Tabla3[[#This Row],[TC]]</f>
        <v>350.87719298245617</v>
      </c>
      <c r="K17" s="99">
        <f>Tabla3[[#This Row],[INGRESOS]]/Tabla3[[#This Row],[TC]]</f>
        <v>0</v>
      </c>
      <c r="L17" s="7" t="s">
        <v>303</v>
      </c>
      <c r="M17" s="7" t="s">
        <v>304</v>
      </c>
      <c r="N17" s="7" t="s">
        <v>25</v>
      </c>
      <c r="O17" s="7" t="s">
        <v>197</v>
      </c>
      <c r="P17" s="7" t="s">
        <v>198</v>
      </c>
      <c r="Q17" s="7" t="s">
        <v>201</v>
      </c>
      <c r="R17" s="7" t="s">
        <v>321</v>
      </c>
      <c r="S17" s="7" t="s">
        <v>322</v>
      </c>
      <c r="U17" s="7" t="s">
        <v>260</v>
      </c>
      <c r="W17" s="7" t="s">
        <v>306</v>
      </c>
      <c r="X17" s="7" t="s">
        <v>29</v>
      </c>
      <c r="Y17" s="7" t="s">
        <v>23</v>
      </c>
    </row>
    <row r="18" spans="1:25" s="7" customFormat="1" hidden="1" x14ac:dyDescent="0.25">
      <c r="A18" s="256" t="s">
        <v>183</v>
      </c>
      <c r="B18" s="259">
        <v>45677</v>
      </c>
      <c r="C18" s="250" t="s">
        <v>309</v>
      </c>
      <c r="D18" s="250"/>
      <c r="E18" s="258">
        <v>200000</v>
      </c>
      <c r="F18" s="258">
        <v>0</v>
      </c>
      <c r="G18" s="276">
        <f>Tabla3[[#This Row],[INGRESOS]]-Tabla3[[#This Row],[EGRESOS]]</f>
        <v>-200000</v>
      </c>
      <c r="H18" s="137"/>
      <c r="I18" s="119">
        <v>1140</v>
      </c>
      <c r="J18" s="99">
        <f>Tabla3[[#This Row],[EGRESOS]]/Tabla3[[#This Row],[TC]]</f>
        <v>175.43859649122808</v>
      </c>
      <c r="K18" s="99">
        <f>Tabla3[[#This Row],[INGRESOS]]/Tabla3[[#This Row],[TC]]</f>
        <v>0</v>
      </c>
      <c r="L18" s="7" t="s">
        <v>303</v>
      </c>
      <c r="M18" s="7" t="s">
        <v>304</v>
      </c>
      <c r="N18" s="7" t="s">
        <v>25</v>
      </c>
      <c r="O18" s="7" t="s">
        <v>214</v>
      </c>
      <c r="P18" s="7" t="s">
        <v>216</v>
      </c>
      <c r="Q18" s="7" t="s">
        <v>217</v>
      </c>
      <c r="R18" s="7" t="s">
        <v>316</v>
      </c>
      <c r="U18" s="7" t="s">
        <v>262</v>
      </c>
      <c r="W18" s="7" t="s">
        <v>306</v>
      </c>
    </row>
    <row r="19" spans="1:25" s="7" customFormat="1" hidden="1" x14ac:dyDescent="0.25">
      <c r="A19" s="256" t="s">
        <v>183</v>
      </c>
      <c r="B19" s="259">
        <v>45677</v>
      </c>
      <c r="C19" s="250" t="s">
        <v>309</v>
      </c>
      <c r="D19" s="250"/>
      <c r="E19" s="258">
        <v>1100000</v>
      </c>
      <c r="F19" s="258">
        <v>0</v>
      </c>
      <c r="G19" s="276">
        <f>Tabla3[[#This Row],[INGRESOS]]-Tabla3[[#This Row],[EGRESOS]]</f>
        <v>-1100000</v>
      </c>
      <c r="H19" s="137"/>
      <c r="I19" s="119">
        <v>1140</v>
      </c>
      <c r="J19" s="99">
        <f>Tabla3[[#This Row],[EGRESOS]]/Tabla3[[#This Row],[TC]]</f>
        <v>964.91228070175441</v>
      </c>
      <c r="K19" s="99">
        <f>Tabla3[[#This Row],[INGRESOS]]/Tabla3[[#This Row],[TC]]</f>
        <v>0</v>
      </c>
      <c r="L19" s="7" t="s">
        <v>303</v>
      </c>
      <c r="M19" s="7" t="s">
        <v>304</v>
      </c>
      <c r="N19" s="7" t="s">
        <v>25</v>
      </c>
      <c r="O19" s="7" t="s">
        <v>214</v>
      </c>
      <c r="P19" s="7" t="s">
        <v>216</v>
      </c>
      <c r="Q19" s="7" t="s">
        <v>217</v>
      </c>
      <c r="R19" s="7" t="s">
        <v>316</v>
      </c>
      <c r="U19" s="7" t="s">
        <v>262</v>
      </c>
      <c r="W19" s="7" t="s">
        <v>306</v>
      </c>
    </row>
    <row r="20" spans="1:25" s="7" customFormat="1" hidden="1" x14ac:dyDescent="0.25">
      <c r="A20" s="256" t="s">
        <v>183</v>
      </c>
      <c r="B20" s="259">
        <v>45677</v>
      </c>
      <c r="C20" s="250" t="s">
        <v>307</v>
      </c>
      <c r="D20" s="250"/>
      <c r="E20" s="258">
        <v>5443.07</v>
      </c>
      <c r="F20" s="258">
        <v>0</v>
      </c>
      <c r="G20" s="276">
        <f>Tabla3[[#This Row],[INGRESOS]]-Tabla3[[#This Row],[EGRESOS]]</f>
        <v>-5443.07</v>
      </c>
      <c r="H20" s="137">
        <v>-9948516.5500000007</v>
      </c>
      <c r="I20" s="119">
        <v>1140</v>
      </c>
      <c r="J20" s="99">
        <f>Tabla3[[#This Row],[EGRESOS]]/Tabla3[[#This Row],[TC]]</f>
        <v>4.7746228070175434</v>
      </c>
      <c r="K20" s="99">
        <f>Tabla3[[#This Row],[INGRESOS]]/Tabla3[[#This Row],[TC]]</f>
        <v>0</v>
      </c>
      <c r="L20" s="7" t="s">
        <v>303</v>
      </c>
      <c r="M20" s="7" t="s">
        <v>304</v>
      </c>
      <c r="N20" s="7" t="s">
        <v>25</v>
      </c>
      <c r="O20" s="7" t="s">
        <v>184</v>
      </c>
      <c r="P20" s="7" t="s">
        <v>187</v>
      </c>
      <c r="Q20" s="7" t="s">
        <v>188</v>
      </c>
      <c r="R20" s="7" t="s">
        <v>317</v>
      </c>
      <c r="U20" s="7" t="s">
        <v>261</v>
      </c>
      <c r="W20" s="7" t="s">
        <v>306</v>
      </c>
      <c r="X20" s="7" t="s">
        <v>98</v>
      </c>
      <c r="Y20" s="7" t="s">
        <v>23</v>
      </c>
    </row>
    <row r="21" spans="1:25" s="7" customFormat="1" hidden="1" x14ac:dyDescent="0.25">
      <c r="A21" s="256" t="s">
        <v>183</v>
      </c>
      <c r="B21" s="257">
        <v>45680</v>
      </c>
      <c r="C21" s="250" t="s">
        <v>323</v>
      </c>
      <c r="D21" s="250"/>
      <c r="E21" s="258">
        <v>0</v>
      </c>
      <c r="F21" s="258">
        <v>10000000</v>
      </c>
      <c r="G21" s="276">
        <f>Tabla3[[#This Row],[INGRESOS]]-Tabla3[[#This Row],[EGRESOS]]</f>
        <v>10000000</v>
      </c>
      <c r="H21" s="137">
        <v>51483.45</v>
      </c>
      <c r="I21" s="119">
        <v>1140</v>
      </c>
      <c r="J21" s="99">
        <f>Tabla3[[#This Row],[EGRESOS]]/Tabla3[[#This Row],[TC]]</f>
        <v>0</v>
      </c>
      <c r="K21" s="99">
        <f>Tabla3[[#This Row],[INGRESOS]]/Tabla3[[#This Row],[TC]]</f>
        <v>8771.9298245614027</v>
      </c>
      <c r="L21" s="7" t="s">
        <v>303</v>
      </c>
      <c r="M21" s="7" t="s">
        <v>304</v>
      </c>
      <c r="N21" s="7" t="s">
        <v>25</v>
      </c>
      <c r="O21" s="7" t="s">
        <v>214</v>
      </c>
      <c r="P21" s="7" t="s">
        <v>216</v>
      </c>
      <c r="Q21" s="7" t="s">
        <v>217</v>
      </c>
      <c r="R21" s="7" t="s">
        <v>388</v>
      </c>
      <c r="U21" s="7" t="s">
        <v>262</v>
      </c>
      <c r="W21" s="7" t="s">
        <v>306</v>
      </c>
    </row>
    <row r="22" spans="1:25" s="7" customFormat="1" hidden="1" x14ac:dyDescent="0.25">
      <c r="A22" s="256" t="s">
        <v>183</v>
      </c>
      <c r="B22" s="257">
        <v>45686</v>
      </c>
      <c r="C22" s="250" t="s">
        <v>309</v>
      </c>
      <c r="D22" s="250"/>
      <c r="E22" s="258">
        <v>236100</v>
      </c>
      <c r="F22" s="258">
        <v>0</v>
      </c>
      <c r="G22" s="276">
        <f>Tabla3[[#This Row],[INGRESOS]]-Tabla3[[#This Row],[EGRESOS]]</f>
        <v>-236100</v>
      </c>
      <c r="H22" s="134"/>
      <c r="I22" s="119">
        <v>1140</v>
      </c>
      <c r="J22" s="99">
        <f>Tabla3[[#This Row],[EGRESOS]]/Tabla3[[#This Row],[TC]]</f>
        <v>207.10526315789474</v>
      </c>
      <c r="K22" s="99">
        <f>Tabla3[[#This Row],[INGRESOS]]/Tabla3[[#This Row],[TC]]</f>
        <v>0</v>
      </c>
      <c r="L22" s="7" t="s">
        <v>303</v>
      </c>
      <c r="M22" s="7" t="s">
        <v>304</v>
      </c>
      <c r="N22" s="7" t="s">
        <v>25</v>
      </c>
      <c r="O22" s="7" t="s">
        <v>204</v>
      </c>
      <c r="P22" s="7" t="s">
        <v>210</v>
      </c>
      <c r="Q22" s="7" t="s">
        <v>33</v>
      </c>
      <c r="R22" s="7" t="s">
        <v>324</v>
      </c>
      <c r="S22" s="7" t="s">
        <v>325</v>
      </c>
      <c r="T22" s="7" t="s">
        <v>326</v>
      </c>
      <c r="U22" s="7" t="s">
        <v>257</v>
      </c>
      <c r="W22" s="7" t="s">
        <v>306</v>
      </c>
      <c r="X22" s="7" t="s">
        <v>29</v>
      </c>
      <c r="Y22" s="7" t="s">
        <v>23</v>
      </c>
    </row>
    <row r="23" spans="1:25" s="7" customFormat="1" hidden="1" x14ac:dyDescent="0.25">
      <c r="A23" s="369" t="s">
        <v>183</v>
      </c>
      <c r="B23" s="370">
        <v>45686</v>
      </c>
      <c r="C23" s="371" t="s">
        <v>309</v>
      </c>
      <c r="D23" s="371"/>
      <c r="E23" s="372">
        <v>750000</v>
      </c>
      <c r="F23" s="372">
        <v>0</v>
      </c>
      <c r="G23" s="373">
        <f>Tabla3[[#This Row],[INGRESOS]]-Tabla3[[#This Row],[EGRESOS]]</f>
        <v>-750000</v>
      </c>
      <c r="H23" s="374"/>
      <c r="I23" s="372">
        <v>1140</v>
      </c>
      <c r="J23" s="375">
        <f>Tabla3[[#This Row],[EGRESOS]]/Tabla3[[#This Row],[TC]]</f>
        <v>657.89473684210532</v>
      </c>
      <c r="K23" s="375">
        <f>Tabla3[[#This Row],[INGRESOS]]/Tabla3[[#This Row],[TC]]</f>
        <v>0</v>
      </c>
      <c r="L23" s="371" t="s">
        <v>303</v>
      </c>
      <c r="M23" s="371" t="s">
        <v>304</v>
      </c>
      <c r="N23" s="371" t="s">
        <v>25</v>
      </c>
      <c r="O23" s="371" t="s">
        <v>204</v>
      </c>
      <c r="P23" s="371" t="s">
        <v>210</v>
      </c>
      <c r="Q23" s="371" t="s">
        <v>211</v>
      </c>
      <c r="R23" s="371" t="s">
        <v>327</v>
      </c>
      <c r="S23" s="371" t="s">
        <v>328</v>
      </c>
      <c r="T23" s="371" t="s">
        <v>329</v>
      </c>
      <c r="U23" s="371" t="s">
        <v>258</v>
      </c>
      <c r="V23" s="371"/>
      <c r="W23" s="371" t="s">
        <v>919</v>
      </c>
      <c r="X23" s="371" t="s">
        <v>29</v>
      </c>
      <c r="Y23" s="371" t="s">
        <v>23</v>
      </c>
    </row>
    <row r="24" spans="1:25" s="7" customFormat="1" hidden="1" x14ac:dyDescent="0.25">
      <c r="A24" s="256" t="s">
        <v>183</v>
      </c>
      <c r="B24" s="257">
        <v>45686</v>
      </c>
      <c r="C24" s="250" t="s">
        <v>309</v>
      </c>
      <c r="D24" s="250"/>
      <c r="E24" s="258">
        <v>1000000</v>
      </c>
      <c r="F24" s="258">
        <v>0</v>
      </c>
      <c r="G24" s="276">
        <f>Tabla3[[#This Row],[INGRESOS]]-Tabla3[[#This Row],[EGRESOS]]</f>
        <v>-1000000</v>
      </c>
      <c r="H24" s="137"/>
      <c r="I24" s="119">
        <v>1140</v>
      </c>
      <c r="J24" s="99">
        <f>Tabla3[[#This Row],[EGRESOS]]/Tabla3[[#This Row],[TC]]</f>
        <v>877.19298245614038</v>
      </c>
      <c r="K24" s="99">
        <f>Tabla3[[#This Row],[INGRESOS]]/Tabla3[[#This Row],[TC]]</f>
        <v>0</v>
      </c>
      <c r="L24" s="7" t="s">
        <v>303</v>
      </c>
      <c r="M24" s="7" t="s">
        <v>304</v>
      </c>
      <c r="N24" s="7" t="s">
        <v>25</v>
      </c>
      <c r="O24" s="7" t="s">
        <v>184</v>
      </c>
      <c r="P24" s="7" t="s">
        <v>194</v>
      </c>
      <c r="Q24" s="7" t="s">
        <v>196</v>
      </c>
      <c r="R24" s="7" t="s">
        <v>330</v>
      </c>
      <c r="S24" s="8" t="s">
        <v>331</v>
      </c>
      <c r="U24" s="7" t="s">
        <v>277</v>
      </c>
      <c r="V24" s="7" t="s">
        <v>332</v>
      </c>
      <c r="W24" s="7" t="s">
        <v>306</v>
      </c>
      <c r="X24" s="7" t="s">
        <v>101</v>
      </c>
      <c r="Y24" s="7" t="s">
        <v>23</v>
      </c>
    </row>
    <row r="25" spans="1:25" s="7" customFormat="1" hidden="1" x14ac:dyDescent="0.25">
      <c r="A25" s="256" t="s">
        <v>183</v>
      </c>
      <c r="B25" s="257">
        <v>45686</v>
      </c>
      <c r="C25" s="250" t="s">
        <v>307</v>
      </c>
      <c r="D25" s="250"/>
      <c r="E25" s="258">
        <v>11916.6</v>
      </c>
      <c r="F25" s="258">
        <v>0</v>
      </c>
      <c r="G25" s="276">
        <f>Tabla3[[#This Row],[INGRESOS]]-Tabla3[[#This Row],[EGRESOS]]</f>
        <v>-11916.6</v>
      </c>
      <c r="H25" s="137">
        <v>-1946533.15</v>
      </c>
      <c r="I25" s="119">
        <v>1140</v>
      </c>
      <c r="J25" s="99">
        <f>Tabla3[[#This Row],[EGRESOS]]/Tabla3[[#This Row],[TC]]</f>
        <v>10.453157894736842</v>
      </c>
      <c r="K25" s="99">
        <f>Tabla3[[#This Row],[INGRESOS]]/Tabla3[[#This Row],[TC]]</f>
        <v>0</v>
      </c>
      <c r="L25" s="7" t="s">
        <v>303</v>
      </c>
      <c r="M25" s="7" t="s">
        <v>304</v>
      </c>
      <c r="N25" s="7" t="s">
        <v>25</v>
      </c>
      <c r="O25" s="7" t="s">
        <v>184</v>
      </c>
      <c r="P25" s="7" t="s">
        <v>187</v>
      </c>
      <c r="Q25" s="7" t="s">
        <v>188</v>
      </c>
      <c r="R25" s="7" t="s">
        <v>317</v>
      </c>
      <c r="U25" s="7" t="s">
        <v>261</v>
      </c>
      <c r="W25" s="7" t="s">
        <v>306</v>
      </c>
      <c r="X25" s="7" t="s">
        <v>98</v>
      </c>
      <c r="Y25" s="7" t="s">
        <v>23</v>
      </c>
    </row>
    <row r="26" spans="1:25" s="7" customFormat="1" hidden="1" x14ac:dyDescent="0.25">
      <c r="A26" s="256" t="s">
        <v>183</v>
      </c>
      <c r="B26" s="257">
        <v>45688</v>
      </c>
      <c r="C26" s="250" t="s">
        <v>333</v>
      </c>
      <c r="D26" s="250"/>
      <c r="E26" s="258">
        <v>2827.37</v>
      </c>
      <c r="F26" s="258">
        <v>0</v>
      </c>
      <c r="G26" s="276">
        <f>Tabla3[[#This Row],[INGRESOS]]-Tabla3[[#This Row],[EGRESOS]]</f>
        <v>-2827.37</v>
      </c>
      <c r="H26" s="137"/>
      <c r="I26" s="119">
        <v>1140</v>
      </c>
      <c r="J26" s="99">
        <f>Tabla3[[#This Row],[EGRESOS]]/Tabla3[[#This Row],[TC]]</f>
        <v>2.4801491228070174</v>
      </c>
      <c r="K26" s="99">
        <f>Tabla3[[#This Row],[INGRESOS]]/Tabla3[[#This Row],[TC]]</f>
        <v>0</v>
      </c>
      <c r="L26" s="7" t="s">
        <v>303</v>
      </c>
      <c r="M26" s="7" t="s">
        <v>304</v>
      </c>
      <c r="N26" s="7" t="s">
        <v>25</v>
      </c>
      <c r="O26" s="7" t="s">
        <v>184</v>
      </c>
      <c r="P26" s="7" t="s">
        <v>187</v>
      </c>
      <c r="Q26" s="7" t="s">
        <v>188</v>
      </c>
      <c r="R26" s="7" t="s">
        <v>334</v>
      </c>
      <c r="U26" s="7" t="s">
        <v>261</v>
      </c>
      <c r="W26" s="7" t="s">
        <v>306</v>
      </c>
      <c r="X26" s="7" t="s">
        <v>98</v>
      </c>
      <c r="Y26" s="7" t="s">
        <v>23</v>
      </c>
    </row>
    <row r="27" spans="1:25" s="7" customFormat="1" hidden="1" x14ac:dyDescent="0.25">
      <c r="A27" s="256" t="s">
        <v>183</v>
      </c>
      <c r="B27" s="257">
        <v>45688</v>
      </c>
      <c r="C27" s="250" t="s">
        <v>335</v>
      </c>
      <c r="D27" s="250"/>
      <c r="E27" s="258">
        <v>188491.31</v>
      </c>
      <c r="F27" s="258">
        <v>0</v>
      </c>
      <c r="G27" s="276">
        <f>Tabla3[[#This Row],[INGRESOS]]-Tabla3[[#This Row],[EGRESOS]]</f>
        <v>-188491.31</v>
      </c>
      <c r="H27" s="137"/>
      <c r="I27" s="119">
        <v>1140</v>
      </c>
      <c r="J27" s="99">
        <f>Tabla3[[#This Row],[EGRESOS]]/Tabla3[[#This Row],[TC]]</f>
        <v>165.34325438596491</v>
      </c>
      <c r="K27" s="99">
        <f>Tabla3[[#This Row],[INGRESOS]]/Tabla3[[#This Row],[TC]]</f>
        <v>0</v>
      </c>
      <c r="L27" s="7" t="s">
        <v>303</v>
      </c>
      <c r="M27" s="7" t="s">
        <v>304</v>
      </c>
      <c r="N27" s="7" t="s">
        <v>25</v>
      </c>
      <c r="O27" s="7" t="s">
        <v>184</v>
      </c>
      <c r="P27" s="7" t="s">
        <v>189</v>
      </c>
      <c r="Q27" s="7" t="s">
        <v>190</v>
      </c>
      <c r="U27" s="7" t="s">
        <v>261</v>
      </c>
      <c r="W27" s="7" t="s">
        <v>306</v>
      </c>
      <c r="X27" s="7" t="s">
        <v>98</v>
      </c>
      <c r="Y27" s="7" t="s">
        <v>23</v>
      </c>
    </row>
    <row r="28" spans="1:25" s="7" customFormat="1" hidden="1" x14ac:dyDescent="0.25">
      <c r="A28" s="256" t="s">
        <v>183</v>
      </c>
      <c r="B28" s="257">
        <v>45688</v>
      </c>
      <c r="C28" s="250" t="s">
        <v>307</v>
      </c>
      <c r="D28" s="250"/>
      <c r="E28" s="258">
        <v>1528.72</v>
      </c>
      <c r="F28" s="258">
        <v>0</v>
      </c>
      <c r="G28" s="276">
        <f>Tabla3[[#This Row],[INGRESOS]]-Tabla3[[#This Row],[EGRESOS]]</f>
        <v>-1528.72</v>
      </c>
      <c r="H28" s="137"/>
      <c r="I28" s="119">
        <v>1140</v>
      </c>
      <c r="J28" s="99">
        <f>Tabla3[[#This Row],[EGRESOS]]/Tabla3[[#This Row],[TC]]</f>
        <v>1.3409824561403509</v>
      </c>
      <c r="K28" s="99">
        <f>Tabla3[[#This Row],[INGRESOS]]/Tabla3[[#This Row],[TC]]</f>
        <v>0</v>
      </c>
      <c r="L28" s="7" t="s">
        <v>303</v>
      </c>
      <c r="M28" s="7" t="s">
        <v>304</v>
      </c>
      <c r="N28" s="7" t="s">
        <v>25</v>
      </c>
      <c r="O28" s="7" t="s">
        <v>184</v>
      </c>
      <c r="P28" s="7" t="s">
        <v>187</v>
      </c>
      <c r="Q28" s="7" t="s">
        <v>188</v>
      </c>
      <c r="R28" s="7" t="s">
        <v>308</v>
      </c>
      <c r="U28" s="7" t="s">
        <v>261</v>
      </c>
      <c r="W28" s="7" t="s">
        <v>306</v>
      </c>
      <c r="X28" s="7" t="s">
        <v>98</v>
      </c>
      <c r="Y28" s="7" t="s">
        <v>23</v>
      </c>
    </row>
    <row r="29" spans="1:25" s="7" customFormat="1" hidden="1" x14ac:dyDescent="0.25">
      <c r="A29" s="256" t="s">
        <v>183</v>
      </c>
      <c r="B29" s="257">
        <v>45688</v>
      </c>
      <c r="C29" s="250" t="s">
        <v>336</v>
      </c>
      <c r="D29" s="250"/>
      <c r="E29" s="258">
        <v>19791.59</v>
      </c>
      <c r="F29" s="258">
        <v>0</v>
      </c>
      <c r="G29" s="276">
        <f>Tabla3[[#This Row],[INGRESOS]]-Tabla3[[#This Row],[EGRESOS]]</f>
        <v>-19791.59</v>
      </c>
      <c r="H29" s="137"/>
      <c r="I29" s="119">
        <v>1140</v>
      </c>
      <c r="J29" s="99">
        <f>Tabla3[[#This Row],[EGRESOS]]/Tabla3[[#This Row],[TC]]</f>
        <v>17.361043859649122</v>
      </c>
      <c r="K29" s="99">
        <f>Tabla3[[#This Row],[INGRESOS]]/Tabla3[[#This Row],[TC]]</f>
        <v>0</v>
      </c>
      <c r="L29" s="7" t="s">
        <v>303</v>
      </c>
      <c r="M29" s="7" t="s">
        <v>304</v>
      </c>
      <c r="N29" s="7" t="s">
        <v>25</v>
      </c>
      <c r="O29" s="7" t="s">
        <v>184</v>
      </c>
      <c r="P29" s="7" t="s">
        <v>187</v>
      </c>
      <c r="Q29" s="7" t="s">
        <v>188</v>
      </c>
      <c r="R29" s="7" t="s">
        <v>337</v>
      </c>
      <c r="U29" s="7" t="s">
        <v>261</v>
      </c>
      <c r="W29" s="7" t="s">
        <v>306</v>
      </c>
      <c r="X29" s="7" t="s">
        <v>98</v>
      </c>
      <c r="Y29" s="7" t="s">
        <v>23</v>
      </c>
    </row>
    <row r="30" spans="1:25" s="7" customFormat="1" hidden="1" x14ac:dyDescent="0.25">
      <c r="A30" s="256" t="s">
        <v>183</v>
      </c>
      <c r="B30" s="257">
        <v>45688</v>
      </c>
      <c r="C30" s="250" t="s">
        <v>232</v>
      </c>
      <c r="D30" s="250"/>
      <c r="E30" s="258">
        <v>6615</v>
      </c>
      <c r="F30" s="258">
        <v>0</v>
      </c>
      <c r="G30" s="276">
        <f>Tabla3[[#This Row],[INGRESOS]]-Tabla3[[#This Row],[EGRESOS]]</f>
        <v>-6615</v>
      </c>
      <c r="H30" s="137"/>
      <c r="I30" s="119">
        <v>1140</v>
      </c>
      <c r="J30" s="99">
        <f>Tabla3[[#This Row],[EGRESOS]]/Tabla3[[#This Row],[TC]]</f>
        <v>5.8026315789473681</v>
      </c>
      <c r="K30" s="99">
        <f>Tabla3[[#This Row],[INGRESOS]]/Tabla3[[#This Row],[TC]]</f>
        <v>0</v>
      </c>
      <c r="L30" s="7" t="s">
        <v>303</v>
      </c>
      <c r="M30" s="7" t="s">
        <v>304</v>
      </c>
      <c r="N30" s="7" t="s">
        <v>25</v>
      </c>
      <c r="O30" s="7" t="s">
        <v>184</v>
      </c>
      <c r="P30" s="7" t="s">
        <v>187</v>
      </c>
      <c r="Q30" s="7" t="s">
        <v>188</v>
      </c>
      <c r="R30" s="7" t="s">
        <v>308</v>
      </c>
      <c r="U30" s="7" t="s">
        <v>261</v>
      </c>
      <c r="W30" s="7" t="s">
        <v>306</v>
      </c>
      <c r="X30" s="7" t="s">
        <v>98</v>
      </c>
      <c r="Y30" s="7" t="s">
        <v>23</v>
      </c>
    </row>
    <row r="31" spans="1:25" s="7" customFormat="1" hidden="1" x14ac:dyDescent="0.25">
      <c r="A31" s="256" t="s">
        <v>183</v>
      </c>
      <c r="B31" s="257">
        <v>45688</v>
      </c>
      <c r="C31" s="250" t="s">
        <v>338</v>
      </c>
      <c r="D31" s="250"/>
      <c r="E31" s="258">
        <v>4616.1000000000004</v>
      </c>
      <c r="F31" s="258">
        <v>0</v>
      </c>
      <c r="G31" s="276">
        <f>Tabla3[[#This Row],[INGRESOS]]-Tabla3[[#This Row],[EGRESOS]]</f>
        <v>-4616.1000000000004</v>
      </c>
      <c r="H31" s="137"/>
      <c r="I31" s="119">
        <v>1140</v>
      </c>
      <c r="J31" s="99">
        <f>Tabla3[[#This Row],[EGRESOS]]/Tabla3[[#This Row],[TC]]</f>
        <v>4.0492105263157896</v>
      </c>
      <c r="K31" s="99">
        <f>Tabla3[[#This Row],[INGRESOS]]/Tabla3[[#This Row],[TC]]</f>
        <v>0</v>
      </c>
      <c r="L31" s="7" t="s">
        <v>303</v>
      </c>
      <c r="M31" s="7" t="s">
        <v>304</v>
      </c>
      <c r="N31" s="7" t="s">
        <v>25</v>
      </c>
      <c r="O31" s="7" t="s">
        <v>184</v>
      </c>
      <c r="P31" s="7" t="s">
        <v>187</v>
      </c>
      <c r="Q31" s="7" t="s">
        <v>188</v>
      </c>
      <c r="R31" s="7" t="s">
        <v>339</v>
      </c>
      <c r="U31" s="7" t="s">
        <v>261</v>
      </c>
      <c r="W31" s="7" t="s">
        <v>306</v>
      </c>
      <c r="X31" s="7" t="s">
        <v>98</v>
      </c>
      <c r="Y31" s="7" t="s">
        <v>23</v>
      </c>
    </row>
    <row r="32" spans="1:25" s="7" customFormat="1" hidden="1" x14ac:dyDescent="0.25">
      <c r="A32" s="256" t="s">
        <v>183</v>
      </c>
      <c r="B32" s="257">
        <v>45688</v>
      </c>
      <c r="C32" s="250" t="s">
        <v>384</v>
      </c>
      <c r="D32" s="250"/>
      <c r="E32" s="258">
        <v>31500</v>
      </c>
      <c r="F32" s="258">
        <v>0</v>
      </c>
      <c r="G32" s="276">
        <f>Tabla3[[#This Row],[INGRESOS]]-Tabla3[[#This Row],[EGRESOS]]</f>
        <v>-31500</v>
      </c>
      <c r="H32" s="137"/>
      <c r="I32" s="119">
        <v>1140</v>
      </c>
      <c r="J32" s="99">
        <f>Tabla3[[#This Row],[EGRESOS]]/Tabla3[[#This Row],[TC]]</f>
        <v>27.631578947368421</v>
      </c>
      <c r="K32" s="99">
        <f>Tabla3[[#This Row],[INGRESOS]]/Tabla3[[#This Row],[TC]]</f>
        <v>0</v>
      </c>
      <c r="L32" s="7" t="s">
        <v>303</v>
      </c>
      <c r="M32" s="7" t="s">
        <v>304</v>
      </c>
      <c r="N32" s="7" t="s">
        <v>25</v>
      </c>
      <c r="O32" s="7" t="s">
        <v>184</v>
      </c>
      <c r="P32" s="7" t="s">
        <v>185</v>
      </c>
      <c r="Q32" s="7" t="s">
        <v>186</v>
      </c>
      <c r="U32" s="7" t="s">
        <v>261</v>
      </c>
      <c r="W32" s="7" t="s">
        <v>306</v>
      </c>
      <c r="X32" s="7" t="s">
        <v>98</v>
      </c>
      <c r="Y32" s="7" t="s">
        <v>23</v>
      </c>
    </row>
    <row r="33" spans="1:25" s="7" customFormat="1" hidden="1" x14ac:dyDescent="0.25">
      <c r="A33" s="256" t="s">
        <v>183</v>
      </c>
      <c r="B33" s="257">
        <v>45688</v>
      </c>
      <c r="C33" s="250" t="s">
        <v>334</v>
      </c>
      <c r="D33" s="250"/>
      <c r="E33" s="258">
        <v>945</v>
      </c>
      <c r="F33" s="258">
        <v>0</v>
      </c>
      <c r="G33" s="276">
        <f>Tabla3[[#This Row],[INGRESOS]]-Tabla3[[#This Row],[EGRESOS]]</f>
        <v>-945</v>
      </c>
      <c r="H33" s="137"/>
      <c r="I33" s="119">
        <v>1140</v>
      </c>
      <c r="J33" s="99">
        <f>Tabla3[[#This Row],[EGRESOS]]/Tabla3[[#This Row],[TC]]</f>
        <v>0.82894736842105265</v>
      </c>
      <c r="K33" s="99">
        <f>Tabla3[[#This Row],[INGRESOS]]/Tabla3[[#This Row],[TC]]</f>
        <v>0</v>
      </c>
      <c r="L33" s="7" t="s">
        <v>303</v>
      </c>
      <c r="M33" s="7" t="s">
        <v>304</v>
      </c>
      <c r="N33" s="7" t="s">
        <v>25</v>
      </c>
      <c r="O33" s="7" t="s">
        <v>184</v>
      </c>
      <c r="P33" s="7" t="s">
        <v>187</v>
      </c>
      <c r="Q33" s="7" t="s">
        <v>188</v>
      </c>
      <c r="R33" s="7" t="s">
        <v>334</v>
      </c>
      <c r="U33" s="7" t="s">
        <v>261</v>
      </c>
      <c r="W33" s="7" t="s">
        <v>306</v>
      </c>
      <c r="X33" s="7" t="s">
        <v>98</v>
      </c>
      <c r="Y33" s="7" t="s">
        <v>23</v>
      </c>
    </row>
    <row r="34" spans="1:25" s="7" customFormat="1" hidden="1" x14ac:dyDescent="0.25">
      <c r="A34" s="256" t="s">
        <v>225</v>
      </c>
      <c r="B34" s="257">
        <v>45693</v>
      </c>
      <c r="C34" s="250" t="s">
        <v>307</v>
      </c>
      <c r="D34" s="250"/>
      <c r="E34" s="258">
        <v>2681.47</v>
      </c>
      <c r="F34" s="258">
        <v>0</v>
      </c>
      <c r="G34" s="276">
        <f>Tabla3[[#This Row],[INGRESOS]]-Tabla3[[#This Row],[EGRESOS]]</f>
        <v>-2681.47</v>
      </c>
      <c r="H34" s="137"/>
      <c r="I34" s="119">
        <v>1140</v>
      </c>
      <c r="J34" s="99">
        <f>Tabla3[[#This Row],[EGRESOS]]/Tabla3[[#This Row],[TC]]</f>
        <v>2.3521666666666663</v>
      </c>
      <c r="K34" s="99">
        <f>Tabla3[[#This Row],[INGRESOS]]/Tabla3[[#This Row],[TC]]</f>
        <v>0</v>
      </c>
      <c r="L34" s="7" t="s">
        <v>303</v>
      </c>
      <c r="M34" s="7" t="s">
        <v>304</v>
      </c>
      <c r="N34" s="7" t="s">
        <v>25</v>
      </c>
      <c r="O34" s="7" t="s">
        <v>184</v>
      </c>
      <c r="P34" s="7" t="s">
        <v>187</v>
      </c>
      <c r="Q34" s="7" t="s">
        <v>188</v>
      </c>
      <c r="R34" s="7" t="s">
        <v>308</v>
      </c>
      <c r="U34" s="7" t="s">
        <v>261</v>
      </c>
      <c r="W34" s="7" t="s">
        <v>306</v>
      </c>
      <c r="X34" s="7" t="s">
        <v>98</v>
      </c>
      <c r="Y34" s="7" t="s">
        <v>23</v>
      </c>
    </row>
    <row r="35" spans="1:25" s="7" customFormat="1" hidden="1" x14ac:dyDescent="0.25">
      <c r="A35" s="256" t="s">
        <v>225</v>
      </c>
      <c r="B35" s="257">
        <v>45693</v>
      </c>
      <c r="C35" s="250" t="s">
        <v>309</v>
      </c>
      <c r="D35" s="250"/>
      <c r="E35" s="258">
        <v>446912.35</v>
      </c>
      <c r="F35" s="258">
        <v>0</v>
      </c>
      <c r="G35" s="276">
        <f>Tabla3[[#This Row],[INGRESOS]]-Tabla3[[#This Row],[EGRESOS]]</f>
        <v>-446912.35</v>
      </c>
      <c r="H35" s="137">
        <v>-2652442.06</v>
      </c>
      <c r="I35" s="119">
        <v>1140</v>
      </c>
      <c r="J35" s="99">
        <f>Tabla3[[#This Row],[EGRESOS]]/Tabla3[[#This Row],[TC]]</f>
        <v>392.02837719298242</v>
      </c>
      <c r="K35" s="99">
        <f>Tabla3[[#This Row],[INGRESOS]]/Tabla3[[#This Row],[TC]]</f>
        <v>0</v>
      </c>
      <c r="L35" s="7" t="s">
        <v>303</v>
      </c>
      <c r="M35" s="7" t="s">
        <v>304</v>
      </c>
      <c r="N35" s="7" t="s">
        <v>25</v>
      </c>
      <c r="O35" s="7" t="s">
        <v>184</v>
      </c>
      <c r="P35" s="7" t="s">
        <v>191</v>
      </c>
      <c r="Q35" s="7" t="s">
        <v>193</v>
      </c>
      <c r="R35" s="7" t="s">
        <v>340</v>
      </c>
      <c r="S35" s="7" t="s">
        <v>315</v>
      </c>
      <c r="U35" s="7" t="s">
        <v>266</v>
      </c>
      <c r="W35" s="7" t="s">
        <v>306</v>
      </c>
      <c r="X35" s="7" t="s">
        <v>98</v>
      </c>
      <c r="Y35" s="7" t="s">
        <v>23</v>
      </c>
    </row>
    <row r="36" spans="1:25" s="7" customFormat="1" hidden="1" x14ac:dyDescent="0.25">
      <c r="A36" s="256" t="s">
        <v>225</v>
      </c>
      <c r="B36" s="257">
        <v>45698</v>
      </c>
      <c r="C36" s="250" t="s">
        <v>307</v>
      </c>
      <c r="D36" s="250"/>
      <c r="E36" s="258">
        <v>1566.61</v>
      </c>
      <c r="F36" s="258">
        <v>0</v>
      </c>
      <c r="G36" s="276">
        <f>Tabla3[[#This Row],[INGRESOS]]-Tabla3[[#This Row],[EGRESOS]]</f>
        <v>-1566.61</v>
      </c>
      <c r="H36" s="137"/>
      <c r="I36" s="119">
        <v>1140</v>
      </c>
      <c r="J36" s="99">
        <f>Tabla3[[#This Row],[EGRESOS]]/Tabla3[[#This Row],[TC]]</f>
        <v>1.3742192982456138</v>
      </c>
      <c r="K36" s="99">
        <f>Tabla3[[#This Row],[INGRESOS]]/Tabla3[[#This Row],[TC]]</f>
        <v>0</v>
      </c>
      <c r="L36" s="7" t="s">
        <v>303</v>
      </c>
      <c r="M36" s="7" t="s">
        <v>304</v>
      </c>
      <c r="N36" s="7" t="s">
        <v>25</v>
      </c>
      <c r="O36" s="7" t="s">
        <v>184</v>
      </c>
      <c r="P36" s="7" t="s">
        <v>187</v>
      </c>
      <c r="Q36" s="7" t="s">
        <v>188</v>
      </c>
      <c r="R36" s="7" t="s">
        <v>308</v>
      </c>
      <c r="U36" s="7" t="s">
        <v>261</v>
      </c>
      <c r="W36" s="7" t="s">
        <v>306</v>
      </c>
      <c r="X36" s="7" t="s">
        <v>98</v>
      </c>
      <c r="Y36" s="7" t="s">
        <v>23</v>
      </c>
    </row>
    <row r="37" spans="1:25" s="7" customFormat="1" hidden="1" x14ac:dyDescent="0.25">
      <c r="A37" s="256" t="s">
        <v>225</v>
      </c>
      <c r="B37" s="257">
        <v>45698</v>
      </c>
      <c r="C37" s="250" t="s">
        <v>309</v>
      </c>
      <c r="D37" s="250"/>
      <c r="E37" s="258">
        <v>3000000</v>
      </c>
      <c r="F37" s="258">
        <v>0</v>
      </c>
      <c r="G37" s="276">
        <f>Tabla3[[#This Row],[INGRESOS]]-Tabla3[[#This Row],[EGRESOS]]</f>
        <v>-3000000</v>
      </c>
      <c r="H37" s="137"/>
      <c r="I37" s="119">
        <v>1140</v>
      </c>
      <c r="J37" s="99">
        <f>Tabla3[[#This Row],[EGRESOS]]/Tabla3[[#This Row],[TC]]</f>
        <v>2631.5789473684213</v>
      </c>
      <c r="K37" s="99">
        <f>Tabla3[[#This Row],[INGRESOS]]/Tabla3[[#This Row],[TC]]</f>
        <v>0</v>
      </c>
      <c r="L37" s="7" t="s">
        <v>303</v>
      </c>
      <c r="M37" s="7" t="s">
        <v>304</v>
      </c>
      <c r="N37" s="7" t="s">
        <v>25</v>
      </c>
      <c r="O37" s="7" t="s">
        <v>214</v>
      </c>
      <c r="P37" s="7" t="s">
        <v>216</v>
      </c>
      <c r="Q37" s="7" t="s">
        <v>217</v>
      </c>
      <c r="U37" s="7" t="s">
        <v>262</v>
      </c>
      <c r="W37" s="7" t="s">
        <v>306</v>
      </c>
    </row>
    <row r="38" spans="1:25" s="7" customFormat="1" hidden="1" x14ac:dyDescent="0.25">
      <c r="A38" s="256" t="s">
        <v>225</v>
      </c>
      <c r="B38" s="257">
        <v>45698</v>
      </c>
      <c r="C38" s="250" t="s">
        <v>309</v>
      </c>
      <c r="D38" s="250"/>
      <c r="E38" s="258">
        <v>3100</v>
      </c>
      <c r="F38" s="258">
        <v>0</v>
      </c>
      <c r="G38" s="276">
        <f>Tabla3[[#This Row],[INGRESOS]]-Tabla3[[#This Row],[EGRESOS]]</f>
        <v>-3100</v>
      </c>
      <c r="H38" s="134"/>
      <c r="I38" s="119">
        <v>1140</v>
      </c>
      <c r="J38" s="99">
        <f>Tabla3[[#This Row],[EGRESOS]]/Tabla3[[#This Row],[TC]]</f>
        <v>2.7192982456140351</v>
      </c>
      <c r="K38" s="99">
        <f>Tabla3[[#This Row],[INGRESOS]]/Tabla3[[#This Row],[TC]]</f>
        <v>0</v>
      </c>
      <c r="L38" s="7" t="s">
        <v>303</v>
      </c>
      <c r="M38" s="7" t="s">
        <v>304</v>
      </c>
      <c r="N38" s="7" t="s">
        <v>25</v>
      </c>
      <c r="O38" s="7" t="s">
        <v>184</v>
      </c>
      <c r="P38" s="7" t="s">
        <v>191</v>
      </c>
      <c r="Q38" s="7" t="s">
        <v>223</v>
      </c>
      <c r="R38" s="7" t="s">
        <v>341</v>
      </c>
      <c r="S38" s="7" t="s">
        <v>342</v>
      </c>
      <c r="U38" s="7" t="s">
        <v>266</v>
      </c>
      <c r="W38" s="7" t="s">
        <v>306</v>
      </c>
      <c r="X38" s="7" t="s">
        <v>98</v>
      </c>
      <c r="Y38" s="7" t="s">
        <v>23</v>
      </c>
    </row>
    <row r="39" spans="1:25" s="7" customFormat="1" hidden="1" x14ac:dyDescent="0.25">
      <c r="A39" s="256" t="s">
        <v>225</v>
      </c>
      <c r="B39" s="257">
        <v>45698</v>
      </c>
      <c r="C39" s="250" t="s">
        <v>309</v>
      </c>
      <c r="D39" s="250"/>
      <c r="E39" s="258">
        <v>80000</v>
      </c>
      <c r="F39" s="258">
        <v>0</v>
      </c>
      <c r="G39" s="276">
        <f>Tabla3[[#This Row],[INGRESOS]]-Tabla3[[#This Row],[EGRESOS]]</f>
        <v>-80000</v>
      </c>
      <c r="H39" s="134"/>
      <c r="I39" s="119">
        <v>1140</v>
      </c>
      <c r="J39" s="99">
        <f>Tabla3[[#This Row],[EGRESOS]]/Tabla3[[#This Row],[TC]]</f>
        <v>70.175438596491233</v>
      </c>
      <c r="K39" s="99">
        <f>Tabla3[[#This Row],[INGRESOS]]/Tabla3[[#This Row],[TC]]</f>
        <v>0</v>
      </c>
      <c r="L39" s="7" t="s">
        <v>303</v>
      </c>
      <c r="M39" s="7" t="s">
        <v>304</v>
      </c>
      <c r="N39" s="7" t="s">
        <v>25</v>
      </c>
      <c r="O39" s="7" t="s">
        <v>204</v>
      </c>
      <c r="P39" s="7" t="s">
        <v>208</v>
      </c>
      <c r="Q39" s="7" t="s">
        <v>209</v>
      </c>
      <c r="R39" s="7" t="s">
        <v>343</v>
      </c>
      <c r="U39" s="7" t="s">
        <v>259</v>
      </c>
      <c r="W39" s="7" t="s">
        <v>306</v>
      </c>
      <c r="X39" s="7" t="s">
        <v>98</v>
      </c>
      <c r="Y39" s="7" t="s">
        <v>23</v>
      </c>
    </row>
    <row r="40" spans="1:25" s="7" customFormat="1" hidden="1" x14ac:dyDescent="0.25">
      <c r="A40" s="256" t="s">
        <v>225</v>
      </c>
      <c r="B40" s="257">
        <v>45698</v>
      </c>
      <c r="C40" s="250" t="s">
        <v>309</v>
      </c>
      <c r="D40" s="250"/>
      <c r="E40" s="258">
        <v>40000</v>
      </c>
      <c r="F40" s="258">
        <v>0</v>
      </c>
      <c r="G40" s="276">
        <f>Tabla3[[#This Row],[INGRESOS]]-Tabla3[[#This Row],[EGRESOS]]</f>
        <v>-40000</v>
      </c>
      <c r="H40" s="137"/>
      <c r="I40" s="119">
        <v>1140</v>
      </c>
      <c r="J40" s="99">
        <f>Tabla3[[#This Row],[EGRESOS]]/Tabla3[[#This Row],[TC]]</f>
        <v>35.087719298245617</v>
      </c>
      <c r="K40" s="99">
        <f>Tabla3[[#This Row],[INGRESOS]]/Tabla3[[#This Row],[TC]]</f>
        <v>0</v>
      </c>
      <c r="L40" s="7" t="s">
        <v>303</v>
      </c>
      <c r="M40" s="7" t="s">
        <v>304</v>
      </c>
      <c r="N40" s="7" t="s">
        <v>25</v>
      </c>
      <c r="O40" s="7" t="s">
        <v>204</v>
      </c>
      <c r="P40" s="7" t="s">
        <v>208</v>
      </c>
      <c r="Q40" s="7" t="s">
        <v>209</v>
      </c>
      <c r="R40" s="7" t="s">
        <v>344</v>
      </c>
      <c r="U40" s="7" t="s">
        <v>259</v>
      </c>
      <c r="W40" s="7" t="s">
        <v>306</v>
      </c>
      <c r="X40" s="7" t="s">
        <v>98</v>
      </c>
      <c r="Y40" s="7" t="s">
        <v>23</v>
      </c>
    </row>
    <row r="41" spans="1:25" s="7" customFormat="1" hidden="1" x14ac:dyDescent="0.25">
      <c r="A41" s="256" t="s">
        <v>225</v>
      </c>
      <c r="B41" s="257">
        <v>45698</v>
      </c>
      <c r="C41" s="250" t="s">
        <v>309</v>
      </c>
      <c r="D41" s="250"/>
      <c r="E41" s="258">
        <v>30000</v>
      </c>
      <c r="F41" s="258">
        <v>0</v>
      </c>
      <c r="G41" s="276">
        <f>Tabla3[[#This Row],[INGRESOS]]-Tabla3[[#This Row],[EGRESOS]]</f>
        <v>-30000</v>
      </c>
      <c r="H41" s="137"/>
      <c r="I41" s="119">
        <v>1140</v>
      </c>
      <c r="J41" s="99">
        <f>Tabla3[[#This Row],[EGRESOS]]/Tabla3[[#This Row],[TC]]</f>
        <v>26.315789473684209</v>
      </c>
      <c r="K41" s="99">
        <f>Tabla3[[#This Row],[INGRESOS]]/Tabla3[[#This Row],[TC]]</f>
        <v>0</v>
      </c>
      <c r="L41" s="7" t="s">
        <v>303</v>
      </c>
      <c r="M41" s="7" t="s">
        <v>304</v>
      </c>
      <c r="N41" s="7" t="s">
        <v>25</v>
      </c>
      <c r="O41" s="7" t="s">
        <v>223</v>
      </c>
      <c r="P41" s="7" t="s">
        <v>233</v>
      </c>
      <c r="Q41" s="7" t="s">
        <v>234</v>
      </c>
      <c r="S41" s="7" t="s">
        <v>345</v>
      </c>
      <c r="U41" s="7" t="s">
        <v>261</v>
      </c>
      <c r="W41" s="7" t="s">
        <v>306</v>
      </c>
      <c r="X41" s="7" t="s">
        <v>98</v>
      </c>
      <c r="Y41" s="7" t="s">
        <v>23</v>
      </c>
    </row>
    <row r="42" spans="1:25" s="7" customFormat="1" hidden="1" x14ac:dyDescent="0.25">
      <c r="A42" s="256" t="s">
        <v>225</v>
      </c>
      <c r="B42" s="257">
        <v>45698</v>
      </c>
      <c r="C42" s="250" t="s">
        <v>309</v>
      </c>
      <c r="D42" s="250"/>
      <c r="E42" s="258">
        <f>2501.35+5500</f>
        <v>8001.35</v>
      </c>
      <c r="F42" s="258">
        <v>0</v>
      </c>
      <c r="G42" s="276">
        <f>Tabla3[[#This Row],[INGRESOS]]-Tabla3[[#This Row],[EGRESOS]]</f>
        <v>-8001.35</v>
      </c>
      <c r="H42" s="137"/>
      <c r="I42" s="119">
        <v>1140</v>
      </c>
      <c r="J42" s="99">
        <f>Tabla3[[#This Row],[EGRESOS]]/Tabla3[[#This Row],[TC]]</f>
        <v>7.0187280701754391</v>
      </c>
      <c r="K42" s="99">
        <f>Tabla3[[#This Row],[INGRESOS]]/Tabla3[[#This Row],[TC]]</f>
        <v>0</v>
      </c>
      <c r="L42" s="7" t="s">
        <v>303</v>
      </c>
      <c r="M42" s="7" t="s">
        <v>304</v>
      </c>
      <c r="N42" s="7" t="s">
        <v>25</v>
      </c>
      <c r="O42" s="7" t="s">
        <v>184</v>
      </c>
      <c r="P42" s="7" t="s">
        <v>191</v>
      </c>
      <c r="Q42" s="7" t="s">
        <v>193</v>
      </c>
      <c r="R42" s="7" t="s">
        <v>346</v>
      </c>
      <c r="S42" s="7" t="s">
        <v>313</v>
      </c>
      <c r="U42" s="7" t="s">
        <v>266</v>
      </c>
      <c r="W42" s="7" t="s">
        <v>306</v>
      </c>
      <c r="X42" s="7" t="s">
        <v>98</v>
      </c>
      <c r="Y42" s="7" t="s">
        <v>23</v>
      </c>
    </row>
    <row r="43" spans="1:25" s="7" customFormat="1" hidden="1" x14ac:dyDescent="0.25">
      <c r="A43" s="256" t="s">
        <v>225</v>
      </c>
      <c r="B43" s="257">
        <v>45698</v>
      </c>
      <c r="C43" s="250" t="s">
        <v>309</v>
      </c>
      <c r="D43" s="250"/>
      <c r="E43" s="258">
        <v>100000</v>
      </c>
      <c r="F43" s="258">
        <v>0</v>
      </c>
      <c r="G43" s="276">
        <f>Tabla3[[#This Row],[INGRESOS]]-Tabla3[[#This Row],[EGRESOS]]</f>
        <v>-100000</v>
      </c>
      <c r="H43" s="137">
        <v>-5915109.6699999999</v>
      </c>
      <c r="I43" s="119">
        <v>1140</v>
      </c>
      <c r="J43" s="99">
        <f>Tabla3[[#This Row],[EGRESOS]]/Tabla3[[#This Row],[TC]]</f>
        <v>87.719298245614041</v>
      </c>
      <c r="K43" s="99">
        <f>Tabla3[[#This Row],[INGRESOS]]/Tabla3[[#This Row],[TC]]</f>
        <v>0</v>
      </c>
      <c r="L43" s="7" t="s">
        <v>303</v>
      </c>
      <c r="M43" s="7" t="s">
        <v>304</v>
      </c>
      <c r="N43" s="7" t="s">
        <v>25</v>
      </c>
      <c r="O43" s="7" t="s">
        <v>184</v>
      </c>
      <c r="P43" s="7" t="s">
        <v>191</v>
      </c>
      <c r="Q43" s="7" t="s">
        <v>192</v>
      </c>
      <c r="R43" s="7" t="s">
        <v>192</v>
      </c>
      <c r="S43" s="7" t="s">
        <v>342</v>
      </c>
      <c r="U43" s="7" t="s">
        <v>266</v>
      </c>
      <c r="W43" s="7" t="s">
        <v>306</v>
      </c>
      <c r="X43" s="7" t="s">
        <v>98</v>
      </c>
      <c r="Y43" s="7" t="s">
        <v>23</v>
      </c>
    </row>
    <row r="44" spans="1:25" s="7" customFormat="1" hidden="1" x14ac:dyDescent="0.25">
      <c r="A44" s="256" t="s">
        <v>225</v>
      </c>
      <c r="B44" s="257">
        <v>45700</v>
      </c>
      <c r="C44" s="250" t="s">
        <v>307</v>
      </c>
      <c r="D44" s="250"/>
      <c r="E44" s="258">
        <v>2880.44</v>
      </c>
      <c r="F44" s="258">
        <v>0</v>
      </c>
      <c r="G44" s="276">
        <f>Tabla3[[#This Row],[INGRESOS]]-Tabla3[[#This Row],[EGRESOS]]</f>
        <v>-2880.44</v>
      </c>
      <c r="H44" s="137"/>
      <c r="I44" s="119">
        <v>1140</v>
      </c>
      <c r="J44" s="99">
        <f>Tabla3[[#This Row],[EGRESOS]]/Tabla3[[#This Row],[TC]]</f>
        <v>2.5267017543859649</v>
      </c>
      <c r="K44" s="99">
        <f>Tabla3[[#This Row],[INGRESOS]]/Tabla3[[#This Row],[TC]]</f>
        <v>0</v>
      </c>
      <c r="L44" s="7" t="s">
        <v>303</v>
      </c>
      <c r="M44" s="7" t="s">
        <v>304</v>
      </c>
      <c r="N44" s="7" t="s">
        <v>25</v>
      </c>
      <c r="O44" s="7" t="s">
        <v>184</v>
      </c>
      <c r="P44" s="7" t="s">
        <v>187</v>
      </c>
      <c r="Q44" s="7" t="s">
        <v>188</v>
      </c>
      <c r="R44" s="7" t="s">
        <v>308</v>
      </c>
      <c r="U44" s="7" t="s">
        <v>261</v>
      </c>
      <c r="W44" s="7" t="s">
        <v>306</v>
      </c>
      <c r="X44" s="7" t="s">
        <v>98</v>
      </c>
      <c r="Y44" s="7" t="s">
        <v>23</v>
      </c>
    </row>
    <row r="45" spans="1:25" s="7" customFormat="1" hidden="1" x14ac:dyDescent="0.25">
      <c r="A45" s="256" t="s">
        <v>225</v>
      </c>
      <c r="B45" s="257">
        <v>45700</v>
      </c>
      <c r="C45" s="250" t="s">
        <v>309</v>
      </c>
      <c r="D45" s="250"/>
      <c r="E45" s="258">
        <v>476800</v>
      </c>
      <c r="F45" s="258">
        <v>0</v>
      </c>
      <c r="G45" s="276">
        <f>Tabla3[[#This Row],[INGRESOS]]-Tabla3[[#This Row],[EGRESOS]]</f>
        <v>-476800</v>
      </c>
      <c r="H45" s="134"/>
      <c r="I45" s="119">
        <v>1140</v>
      </c>
      <c r="J45" s="99">
        <f>Tabla3[[#This Row],[EGRESOS]]/Tabla3[[#This Row],[TC]]</f>
        <v>418.24561403508773</v>
      </c>
      <c r="K45" s="99">
        <f>Tabla3[[#This Row],[INGRESOS]]/Tabla3[[#This Row],[TC]]</f>
        <v>0</v>
      </c>
      <c r="L45" s="7" t="s">
        <v>303</v>
      </c>
      <c r="M45" s="7" t="s">
        <v>304</v>
      </c>
      <c r="N45" s="7" t="s">
        <v>25</v>
      </c>
      <c r="O45" s="7" t="s">
        <v>184</v>
      </c>
      <c r="P45" s="7" t="s">
        <v>191</v>
      </c>
      <c r="Q45" s="7" t="s">
        <v>193</v>
      </c>
      <c r="R45" s="7" t="s">
        <v>347</v>
      </c>
      <c r="S45" s="7" t="s">
        <v>313</v>
      </c>
      <c r="U45" s="7" t="s">
        <v>266</v>
      </c>
      <c r="W45" s="7" t="s">
        <v>306</v>
      </c>
      <c r="X45" s="7" t="s">
        <v>98</v>
      </c>
      <c r="Y45" s="7" t="s">
        <v>23</v>
      </c>
    </row>
    <row r="46" spans="1:25" s="7" customFormat="1" hidden="1" x14ac:dyDescent="0.25">
      <c r="A46" s="256" t="s">
        <v>225</v>
      </c>
      <c r="B46" s="257">
        <v>45700</v>
      </c>
      <c r="C46" s="250" t="s">
        <v>309</v>
      </c>
      <c r="D46" s="250"/>
      <c r="E46" s="258">
        <v>3273</v>
      </c>
      <c r="F46" s="258">
        <v>0</v>
      </c>
      <c r="G46" s="276">
        <f>Tabla3[[#This Row],[INGRESOS]]-Tabla3[[#This Row],[EGRESOS]]</f>
        <v>-3273</v>
      </c>
      <c r="H46" s="137">
        <v>-6398063.1100000003</v>
      </c>
      <c r="I46" s="119">
        <v>1140</v>
      </c>
      <c r="J46" s="99">
        <f>Tabla3[[#This Row],[EGRESOS]]/Tabla3[[#This Row],[TC]]</f>
        <v>2.8710526315789475</v>
      </c>
      <c r="K46" s="99">
        <f>Tabla3[[#This Row],[INGRESOS]]/Tabla3[[#This Row],[TC]]</f>
        <v>0</v>
      </c>
      <c r="L46" s="7" t="s">
        <v>303</v>
      </c>
      <c r="M46" s="7" t="s">
        <v>304</v>
      </c>
      <c r="N46" s="7" t="s">
        <v>25</v>
      </c>
      <c r="O46" s="7" t="s">
        <v>184</v>
      </c>
      <c r="P46" s="7" t="s">
        <v>191</v>
      </c>
      <c r="Q46" s="7" t="s">
        <v>193</v>
      </c>
      <c r="R46" s="7" t="s">
        <v>348</v>
      </c>
      <c r="S46" s="7" t="s">
        <v>349</v>
      </c>
      <c r="U46" s="7" t="s">
        <v>266</v>
      </c>
      <c r="W46" s="7" t="s">
        <v>306</v>
      </c>
      <c r="X46" s="7" t="s">
        <v>29</v>
      </c>
      <c r="Y46" s="7" t="s">
        <v>23</v>
      </c>
    </row>
    <row r="47" spans="1:25" s="7" customFormat="1" hidden="1" x14ac:dyDescent="0.25">
      <c r="A47" s="256" t="s">
        <v>225</v>
      </c>
      <c r="B47" s="257">
        <v>45702</v>
      </c>
      <c r="C47" s="250" t="s">
        <v>309</v>
      </c>
      <c r="D47" s="250"/>
      <c r="E47" s="258">
        <v>2000000</v>
      </c>
      <c r="F47" s="258">
        <v>0</v>
      </c>
      <c r="G47" s="276">
        <f>Tabla3[[#This Row],[INGRESOS]]-Tabla3[[#This Row],[EGRESOS]]</f>
        <v>-2000000</v>
      </c>
      <c r="H47" s="137">
        <v>-8398063.1099999994</v>
      </c>
      <c r="I47" s="119">
        <v>1140</v>
      </c>
      <c r="J47" s="99">
        <f>Tabla3[[#This Row],[EGRESOS]]/Tabla3[[#This Row],[TC]]</f>
        <v>1754.3859649122808</v>
      </c>
      <c r="K47" s="99">
        <f>Tabla3[[#This Row],[INGRESOS]]/Tabla3[[#This Row],[TC]]</f>
        <v>0</v>
      </c>
      <c r="L47" s="7" t="s">
        <v>303</v>
      </c>
      <c r="M47" s="7" t="s">
        <v>304</v>
      </c>
      <c r="N47" s="7" t="s">
        <v>25</v>
      </c>
      <c r="O47" s="7" t="s">
        <v>214</v>
      </c>
      <c r="P47" s="7" t="s">
        <v>216</v>
      </c>
      <c r="Q47" s="7" t="s">
        <v>217</v>
      </c>
      <c r="R47" s="7" t="s">
        <v>316</v>
      </c>
      <c r="U47" s="7" t="s">
        <v>262</v>
      </c>
      <c r="W47" s="7" t="s">
        <v>306</v>
      </c>
    </row>
    <row r="48" spans="1:25" s="7" customFormat="1" hidden="1" x14ac:dyDescent="0.25">
      <c r="A48" s="256" t="s">
        <v>225</v>
      </c>
      <c r="B48" s="257">
        <v>45712</v>
      </c>
      <c r="C48" s="250" t="s">
        <v>309</v>
      </c>
      <c r="D48" s="250"/>
      <c r="E48" s="258">
        <v>500000</v>
      </c>
      <c r="F48" s="258">
        <v>0</v>
      </c>
      <c r="G48" s="276">
        <f>Tabla3[[#This Row],[INGRESOS]]-Tabla3[[#This Row],[EGRESOS]]</f>
        <v>-500000</v>
      </c>
      <c r="H48" s="137">
        <v>-8898063.1099999994</v>
      </c>
      <c r="I48" s="135">
        <v>1140</v>
      </c>
      <c r="J48" s="136">
        <f>Tabla3[[#This Row],[EGRESOS]]/Tabla3[[#This Row],[TC]]</f>
        <v>438.59649122807019</v>
      </c>
      <c r="K48" s="136">
        <f>Tabla3[[#This Row],[INGRESOS]]/Tabla3[[#This Row],[TC]]</f>
        <v>0</v>
      </c>
      <c r="L48" s="8" t="s">
        <v>303</v>
      </c>
      <c r="M48" s="8" t="s">
        <v>304</v>
      </c>
      <c r="N48" s="8" t="s">
        <v>25</v>
      </c>
      <c r="O48" s="7" t="s">
        <v>214</v>
      </c>
      <c r="P48" s="7" t="s">
        <v>216</v>
      </c>
      <c r="Q48" s="7" t="s">
        <v>217</v>
      </c>
      <c r="R48" s="7" t="s">
        <v>316</v>
      </c>
      <c r="U48" s="7" t="s">
        <v>262</v>
      </c>
      <c r="W48" s="7" t="s">
        <v>306</v>
      </c>
    </row>
    <row r="49" spans="1:25" s="7" customFormat="1" hidden="1" x14ac:dyDescent="0.25">
      <c r="A49" s="283" t="s">
        <v>225</v>
      </c>
      <c r="B49" s="260">
        <v>45713</v>
      </c>
      <c r="C49" s="261" t="s">
        <v>307</v>
      </c>
      <c r="D49" s="261"/>
      <c r="E49" s="262">
        <v>4804.8599999999997</v>
      </c>
      <c r="F49" s="262">
        <v>0</v>
      </c>
      <c r="G49" s="285">
        <f>Tabla3[[#This Row],[INGRESOS]]-Tabla3[[#This Row],[EGRESOS]]</f>
        <v>-4804.8599999999997</v>
      </c>
      <c r="H49" s="137"/>
      <c r="I49" s="135">
        <v>1140</v>
      </c>
      <c r="J49" s="136">
        <f>Tabla3[[#This Row],[EGRESOS]]/Tabla3[[#This Row],[TC]]</f>
        <v>4.2147894736842106</v>
      </c>
      <c r="K49" s="136">
        <f>Tabla3[[#This Row],[INGRESOS]]/Tabla3[[#This Row],[TC]]</f>
        <v>0</v>
      </c>
      <c r="L49" s="8" t="s">
        <v>303</v>
      </c>
      <c r="M49" s="8" t="s">
        <v>304</v>
      </c>
      <c r="N49" s="8" t="s">
        <v>25</v>
      </c>
      <c r="O49" s="8" t="s">
        <v>184</v>
      </c>
      <c r="P49" s="8" t="s">
        <v>187</v>
      </c>
      <c r="Q49" s="8" t="s">
        <v>188</v>
      </c>
      <c r="R49" s="8" t="s">
        <v>317</v>
      </c>
      <c r="S49" s="8"/>
      <c r="T49" s="8"/>
      <c r="U49" s="8" t="s">
        <v>261</v>
      </c>
      <c r="V49" s="8"/>
      <c r="W49" s="8" t="s">
        <v>306</v>
      </c>
      <c r="X49" s="8" t="s">
        <v>98</v>
      </c>
      <c r="Y49" s="8" t="s">
        <v>23</v>
      </c>
    </row>
    <row r="50" spans="1:25" s="7" customFormat="1" hidden="1" x14ac:dyDescent="0.25">
      <c r="A50" s="283" t="s">
        <v>225</v>
      </c>
      <c r="B50" s="260">
        <v>45713</v>
      </c>
      <c r="C50" s="261" t="s">
        <v>309</v>
      </c>
      <c r="D50" s="261"/>
      <c r="E50" s="262">
        <v>390000</v>
      </c>
      <c r="F50" s="262">
        <v>0</v>
      </c>
      <c r="G50" s="285">
        <f>Tabla3[[#This Row],[INGRESOS]]-Tabla3[[#This Row],[EGRESOS]]</f>
        <v>-390000</v>
      </c>
      <c r="H50" s="137"/>
      <c r="I50" s="135">
        <v>1140</v>
      </c>
      <c r="J50" s="136">
        <f>Tabla3[[#This Row],[EGRESOS]]/Tabla3[[#This Row],[TC]]</f>
        <v>342.10526315789474</v>
      </c>
      <c r="K50" s="136">
        <f>Tabla3[[#This Row],[INGRESOS]]/Tabla3[[#This Row],[TC]]</f>
        <v>0</v>
      </c>
      <c r="L50" s="8" t="s">
        <v>303</v>
      </c>
      <c r="M50" s="8" t="s">
        <v>304</v>
      </c>
      <c r="N50" s="8" t="s">
        <v>25</v>
      </c>
      <c r="O50" s="8" t="s">
        <v>184</v>
      </c>
      <c r="P50" s="8" t="s">
        <v>191</v>
      </c>
      <c r="Q50" s="8" t="s">
        <v>192</v>
      </c>
      <c r="R50" s="8" t="s">
        <v>350</v>
      </c>
      <c r="S50" s="8" t="s">
        <v>349</v>
      </c>
      <c r="T50" s="8"/>
      <c r="U50" s="8" t="s">
        <v>266</v>
      </c>
      <c r="V50" s="8"/>
      <c r="W50" s="8" t="s">
        <v>306</v>
      </c>
      <c r="X50" s="8" t="s">
        <v>29</v>
      </c>
      <c r="Y50" s="8" t="s">
        <v>23</v>
      </c>
    </row>
    <row r="51" spans="1:25" s="7" customFormat="1" hidden="1" x14ac:dyDescent="0.25">
      <c r="A51" s="380" t="s">
        <v>225</v>
      </c>
      <c r="B51" s="381">
        <v>45713</v>
      </c>
      <c r="C51" s="382" t="s">
        <v>309</v>
      </c>
      <c r="D51" s="382"/>
      <c r="E51" s="383">
        <v>410810</v>
      </c>
      <c r="F51" s="383">
        <v>0</v>
      </c>
      <c r="G51" s="384">
        <f>Tabla3[[#This Row],[INGRESOS]]-Tabla3[[#This Row],[EGRESOS]]</f>
        <v>-410810</v>
      </c>
      <c r="H51" s="384">
        <v>-9703677.9700000007</v>
      </c>
      <c r="I51" s="383">
        <v>1140</v>
      </c>
      <c r="J51" s="385">
        <f>Tabla3[[#This Row],[EGRESOS]]/Tabla3[[#This Row],[TC]]</f>
        <v>360.35964912280701</v>
      </c>
      <c r="K51" s="385">
        <f>Tabla3[[#This Row],[INGRESOS]]/Tabla3[[#This Row],[TC]]</f>
        <v>0</v>
      </c>
      <c r="L51" s="382" t="s">
        <v>303</v>
      </c>
      <c r="M51" s="382" t="s">
        <v>304</v>
      </c>
      <c r="N51" s="382" t="s">
        <v>25</v>
      </c>
      <c r="O51" s="382" t="s">
        <v>197</v>
      </c>
      <c r="P51" s="382" t="s">
        <v>198</v>
      </c>
      <c r="Q51" s="382" t="s">
        <v>199</v>
      </c>
      <c r="R51" s="371" t="s">
        <v>226</v>
      </c>
      <c r="S51" s="382" t="s">
        <v>319</v>
      </c>
      <c r="T51" s="382" t="s">
        <v>351</v>
      </c>
      <c r="U51" s="382" t="s">
        <v>258</v>
      </c>
      <c r="V51" s="382"/>
      <c r="W51" s="382" t="s">
        <v>306</v>
      </c>
      <c r="X51" s="382" t="s">
        <v>29</v>
      </c>
      <c r="Y51" s="382" t="s">
        <v>23</v>
      </c>
    </row>
    <row r="52" spans="1:25" s="7" customFormat="1" hidden="1" x14ac:dyDescent="0.25">
      <c r="A52" s="283" t="s">
        <v>225</v>
      </c>
      <c r="B52" s="260">
        <v>45716</v>
      </c>
      <c r="C52" s="261" t="s">
        <v>333</v>
      </c>
      <c r="D52" s="261"/>
      <c r="E52" s="262">
        <v>3422.05</v>
      </c>
      <c r="F52" s="262">
        <v>0</v>
      </c>
      <c r="G52" s="285">
        <f>Tabla3[[#This Row],[INGRESOS]]-Tabla3[[#This Row],[EGRESOS]]</f>
        <v>-3422.05</v>
      </c>
      <c r="H52" s="285"/>
      <c r="I52" s="135">
        <v>1140</v>
      </c>
      <c r="J52" s="136">
        <f>Tabla3[[#This Row],[EGRESOS]]/Tabla3[[#This Row],[TC]]</f>
        <v>3.0017982456140353</v>
      </c>
      <c r="K52" s="136">
        <f>Tabla3[[#This Row],[INGRESOS]]/Tabla3[[#This Row],[TC]]</f>
        <v>0</v>
      </c>
      <c r="L52" s="8" t="s">
        <v>303</v>
      </c>
      <c r="M52" s="8" t="s">
        <v>304</v>
      </c>
      <c r="N52" s="8" t="s">
        <v>25</v>
      </c>
      <c r="O52" s="8" t="s">
        <v>184</v>
      </c>
      <c r="P52" s="8" t="s">
        <v>187</v>
      </c>
      <c r="Q52" s="8" t="s">
        <v>188</v>
      </c>
      <c r="R52" s="8" t="s">
        <v>334</v>
      </c>
      <c r="S52" s="8"/>
      <c r="T52" s="8"/>
      <c r="U52" s="8" t="s">
        <v>261</v>
      </c>
      <c r="V52" s="8"/>
      <c r="W52" s="8" t="s">
        <v>306</v>
      </c>
      <c r="X52" s="8" t="s">
        <v>98</v>
      </c>
      <c r="Y52" s="8" t="s">
        <v>23</v>
      </c>
    </row>
    <row r="53" spans="1:25" s="7" customFormat="1" hidden="1" x14ac:dyDescent="0.25">
      <c r="A53" s="283" t="s">
        <v>225</v>
      </c>
      <c r="B53" s="260">
        <v>45716</v>
      </c>
      <c r="C53" s="261" t="s">
        <v>335</v>
      </c>
      <c r="D53" s="261"/>
      <c r="E53" s="262">
        <v>228136.62</v>
      </c>
      <c r="F53" s="262">
        <v>0</v>
      </c>
      <c r="G53" s="285">
        <f>Tabla3[[#This Row],[INGRESOS]]-Tabla3[[#This Row],[EGRESOS]]</f>
        <v>-228136.62</v>
      </c>
      <c r="H53" s="285"/>
      <c r="I53" s="135">
        <v>1140</v>
      </c>
      <c r="J53" s="136">
        <f>Tabla3[[#This Row],[EGRESOS]]/Tabla3[[#This Row],[TC]]</f>
        <v>200.11984210526316</v>
      </c>
      <c r="K53" s="136">
        <f>Tabla3[[#This Row],[INGRESOS]]/Tabla3[[#This Row],[TC]]</f>
        <v>0</v>
      </c>
      <c r="L53" s="8" t="s">
        <v>303</v>
      </c>
      <c r="M53" s="8" t="s">
        <v>304</v>
      </c>
      <c r="N53" s="8" t="s">
        <v>25</v>
      </c>
      <c r="O53" s="8" t="s">
        <v>184</v>
      </c>
      <c r="P53" s="8" t="s">
        <v>189</v>
      </c>
      <c r="Q53" s="8" t="s">
        <v>190</v>
      </c>
      <c r="R53" s="8"/>
      <c r="S53" s="8"/>
      <c r="T53" s="8"/>
      <c r="U53" s="8" t="s">
        <v>261</v>
      </c>
      <c r="V53" s="8"/>
      <c r="W53" s="8" t="s">
        <v>306</v>
      </c>
      <c r="X53" s="8" t="s">
        <v>98</v>
      </c>
      <c r="Y53" s="8" t="s">
        <v>23</v>
      </c>
    </row>
    <row r="54" spans="1:25" s="7" customFormat="1" hidden="1" x14ac:dyDescent="0.25">
      <c r="A54" s="283" t="s">
        <v>225</v>
      </c>
      <c r="B54" s="260">
        <v>45716</v>
      </c>
      <c r="C54" s="261" t="s">
        <v>307</v>
      </c>
      <c r="D54" s="261"/>
      <c r="E54" s="262">
        <v>1802.63</v>
      </c>
      <c r="F54" s="262">
        <v>0</v>
      </c>
      <c r="G54" s="285">
        <f>Tabla3[[#This Row],[INGRESOS]]-Tabla3[[#This Row],[EGRESOS]]</f>
        <v>-1802.63</v>
      </c>
      <c r="H54" s="285"/>
      <c r="I54" s="135">
        <v>1140</v>
      </c>
      <c r="J54" s="136">
        <f>Tabla3[[#This Row],[EGRESOS]]/Tabla3[[#This Row],[TC]]</f>
        <v>1.5812543859649124</v>
      </c>
      <c r="K54" s="136">
        <f>Tabla3[[#This Row],[INGRESOS]]/Tabla3[[#This Row],[TC]]</f>
        <v>0</v>
      </c>
      <c r="L54" s="8" t="s">
        <v>303</v>
      </c>
      <c r="M54" s="8" t="s">
        <v>304</v>
      </c>
      <c r="N54" s="8" t="s">
        <v>25</v>
      </c>
      <c r="O54" s="8" t="s">
        <v>184</v>
      </c>
      <c r="P54" s="8" t="s">
        <v>187</v>
      </c>
      <c r="Q54" s="8" t="s">
        <v>188</v>
      </c>
      <c r="R54" s="8" t="s">
        <v>308</v>
      </c>
      <c r="S54" s="8"/>
      <c r="T54" s="8"/>
      <c r="U54" s="8" t="s">
        <v>261</v>
      </c>
      <c r="V54" s="8"/>
      <c r="W54" s="8" t="s">
        <v>306</v>
      </c>
      <c r="X54" s="8" t="s">
        <v>98</v>
      </c>
      <c r="Y54" s="8" t="s">
        <v>23</v>
      </c>
    </row>
    <row r="55" spans="1:25" s="7" customFormat="1" hidden="1" x14ac:dyDescent="0.25">
      <c r="A55" s="283" t="s">
        <v>225</v>
      </c>
      <c r="B55" s="260">
        <v>45716</v>
      </c>
      <c r="C55" s="261" t="s">
        <v>336</v>
      </c>
      <c r="D55" s="261"/>
      <c r="E55" s="262">
        <v>23954.35</v>
      </c>
      <c r="F55" s="262">
        <v>0</v>
      </c>
      <c r="G55" s="285">
        <f>Tabla3[[#This Row],[INGRESOS]]-Tabla3[[#This Row],[EGRESOS]]</f>
        <v>-23954.35</v>
      </c>
      <c r="H55" s="285"/>
      <c r="I55" s="135">
        <v>1140</v>
      </c>
      <c r="J55" s="136">
        <f>Tabla3[[#This Row],[EGRESOS]]/Tabla3[[#This Row],[TC]]</f>
        <v>21.012587719298246</v>
      </c>
      <c r="K55" s="136">
        <f>Tabla3[[#This Row],[INGRESOS]]/Tabla3[[#This Row],[TC]]</f>
        <v>0</v>
      </c>
      <c r="L55" s="8" t="s">
        <v>303</v>
      </c>
      <c r="M55" s="8" t="s">
        <v>304</v>
      </c>
      <c r="N55" s="8" t="s">
        <v>25</v>
      </c>
      <c r="O55" s="8" t="s">
        <v>184</v>
      </c>
      <c r="P55" s="8" t="s">
        <v>187</v>
      </c>
      <c r="Q55" s="8" t="s">
        <v>188</v>
      </c>
      <c r="R55" s="8" t="s">
        <v>337</v>
      </c>
      <c r="S55" s="8"/>
      <c r="T55" s="8"/>
      <c r="U55" s="8" t="s">
        <v>261</v>
      </c>
      <c r="V55" s="8"/>
      <c r="W55" s="8" t="s">
        <v>306</v>
      </c>
      <c r="X55" s="8" t="s">
        <v>98</v>
      </c>
      <c r="Y55" s="8" t="s">
        <v>23</v>
      </c>
    </row>
    <row r="56" spans="1:25" s="7" customFormat="1" hidden="1" x14ac:dyDescent="0.25">
      <c r="A56" s="283" t="s">
        <v>225</v>
      </c>
      <c r="B56" s="260">
        <v>45716</v>
      </c>
      <c r="C56" s="261" t="s">
        <v>232</v>
      </c>
      <c r="D56" s="261"/>
      <c r="E56" s="262">
        <v>6615</v>
      </c>
      <c r="F56" s="262">
        <v>0</v>
      </c>
      <c r="G56" s="285">
        <f>Tabla3[[#This Row],[INGRESOS]]-Tabla3[[#This Row],[EGRESOS]]</f>
        <v>-6615</v>
      </c>
      <c r="H56" s="285"/>
      <c r="I56" s="135">
        <v>1140</v>
      </c>
      <c r="J56" s="136">
        <f>Tabla3[[#This Row],[EGRESOS]]/Tabla3[[#This Row],[TC]]</f>
        <v>5.8026315789473681</v>
      </c>
      <c r="K56" s="136">
        <f>Tabla3[[#This Row],[INGRESOS]]/Tabla3[[#This Row],[TC]]</f>
        <v>0</v>
      </c>
      <c r="L56" s="8" t="s">
        <v>303</v>
      </c>
      <c r="M56" s="8" t="s">
        <v>304</v>
      </c>
      <c r="N56" s="8" t="s">
        <v>25</v>
      </c>
      <c r="O56" s="8" t="s">
        <v>184</v>
      </c>
      <c r="P56" s="8" t="s">
        <v>187</v>
      </c>
      <c r="Q56" s="8" t="s">
        <v>188</v>
      </c>
      <c r="R56" s="8" t="s">
        <v>308</v>
      </c>
      <c r="S56" s="8"/>
      <c r="T56" s="8"/>
      <c r="U56" s="8" t="s">
        <v>261</v>
      </c>
      <c r="V56" s="8"/>
      <c r="W56" s="8" t="s">
        <v>306</v>
      </c>
      <c r="X56" s="8" t="s">
        <v>98</v>
      </c>
      <c r="Y56" s="8" t="s">
        <v>23</v>
      </c>
    </row>
    <row r="57" spans="1:25" s="7" customFormat="1" hidden="1" x14ac:dyDescent="0.25">
      <c r="A57" s="283" t="s">
        <v>225</v>
      </c>
      <c r="B57" s="260">
        <v>45716</v>
      </c>
      <c r="C57" s="261" t="s">
        <v>338</v>
      </c>
      <c r="D57" s="261"/>
      <c r="E57" s="262">
        <v>5864.99</v>
      </c>
      <c r="F57" s="262">
        <v>0</v>
      </c>
      <c r="G57" s="285">
        <f>Tabla3[[#This Row],[INGRESOS]]-Tabla3[[#This Row],[EGRESOS]]</f>
        <v>-5864.99</v>
      </c>
      <c r="H57" s="285"/>
      <c r="I57" s="135">
        <v>1140</v>
      </c>
      <c r="J57" s="136">
        <f>Tabla3[[#This Row],[EGRESOS]]/Tabla3[[#This Row],[TC]]</f>
        <v>5.1447280701754385</v>
      </c>
      <c r="K57" s="136">
        <f>Tabla3[[#This Row],[INGRESOS]]/Tabla3[[#This Row],[TC]]</f>
        <v>0</v>
      </c>
      <c r="L57" s="8" t="s">
        <v>303</v>
      </c>
      <c r="M57" s="8" t="s">
        <v>304</v>
      </c>
      <c r="N57" s="8" t="s">
        <v>25</v>
      </c>
      <c r="O57" s="8" t="s">
        <v>184</v>
      </c>
      <c r="P57" s="8" t="s">
        <v>187</v>
      </c>
      <c r="Q57" s="8" t="s">
        <v>188</v>
      </c>
      <c r="R57" s="8" t="s">
        <v>339</v>
      </c>
      <c r="S57" s="8"/>
      <c r="T57" s="8"/>
      <c r="U57" s="8" t="s">
        <v>261</v>
      </c>
      <c r="V57" s="8"/>
      <c r="W57" s="8" t="s">
        <v>306</v>
      </c>
      <c r="X57" s="8" t="s">
        <v>98</v>
      </c>
      <c r="Y57" s="8" t="s">
        <v>23</v>
      </c>
    </row>
    <row r="58" spans="1:25" s="7" customFormat="1" hidden="1" x14ac:dyDescent="0.25">
      <c r="A58" s="283" t="s">
        <v>225</v>
      </c>
      <c r="B58" s="260">
        <v>45716</v>
      </c>
      <c r="C58" s="261" t="s">
        <v>384</v>
      </c>
      <c r="D58" s="261"/>
      <c r="E58" s="262">
        <v>31500</v>
      </c>
      <c r="F58" s="262">
        <v>0</v>
      </c>
      <c r="G58" s="285">
        <f>Tabla3[[#This Row],[INGRESOS]]-Tabla3[[#This Row],[EGRESOS]]</f>
        <v>-31500</v>
      </c>
      <c r="H58" s="285"/>
      <c r="I58" s="135">
        <v>1140</v>
      </c>
      <c r="J58" s="136">
        <f>Tabla3[[#This Row],[EGRESOS]]/Tabla3[[#This Row],[TC]]</f>
        <v>27.631578947368421</v>
      </c>
      <c r="K58" s="136">
        <f>Tabla3[[#This Row],[INGRESOS]]/Tabla3[[#This Row],[TC]]</f>
        <v>0</v>
      </c>
      <c r="L58" s="8" t="s">
        <v>303</v>
      </c>
      <c r="M58" s="8" t="s">
        <v>304</v>
      </c>
      <c r="N58" s="8" t="s">
        <v>25</v>
      </c>
      <c r="O58" s="8" t="s">
        <v>184</v>
      </c>
      <c r="P58" s="8" t="s">
        <v>185</v>
      </c>
      <c r="Q58" s="8" t="s">
        <v>186</v>
      </c>
      <c r="R58" s="8"/>
      <c r="S58" s="8"/>
      <c r="T58" s="8"/>
      <c r="U58" s="8" t="s">
        <v>261</v>
      </c>
      <c r="V58" s="8"/>
      <c r="W58" s="8" t="s">
        <v>306</v>
      </c>
      <c r="X58" s="8" t="s">
        <v>98</v>
      </c>
      <c r="Y58" s="8" t="s">
        <v>23</v>
      </c>
    </row>
    <row r="59" spans="1:25" s="7" customFormat="1" hidden="1" x14ac:dyDescent="0.25">
      <c r="A59" s="283" t="s">
        <v>225</v>
      </c>
      <c r="B59" s="260">
        <v>45716</v>
      </c>
      <c r="C59" s="261" t="s">
        <v>334</v>
      </c>
      <c r="D59" s="261"/>
      <c r="E59" s="262">
        <v>945</v>
      </c>
      <c r="F59" s="262">
        <v>0</v>
      </c>
      <c r="G59" s="285">
        <f>Tabla3[[#This Row],[INGRESOS]]-Tabla3[[#This Row],[EGRESOS]]</f>
        <v>-945</v>
      </c>
      <c r="H59" s="285"/>
      <c r="I59" s="135">
        <v>1140</v>
      </c>
      <c r="J59" s="136">
        <f>Tabla3[[#This Row],[EGRESOS]]/Tabla3[[#This Row],[TC]]</f>
        <v>0.82894736842105265</v>
      </c>
      <c r="K59" s="136">
        <f>Tabla3[[#This Row],[INGRESOS]]/Tabla3[[#This Row],[TC]]</f>
        <v>0</v>
      </c>
      <c r="L59" s="8" t="s">
        <v>303</v>
      </c>
      <c r="M59" s="8" t="s">
        <v>304</v>
      </c>
      <c r="N59" s="8" t="s">
        <v>25</v>
      </c>
      <c r="O59" s="8" t="s">
        <v>184</v>
      </c>
      <c r="P59" s="8" t="s">
        <v>187</v>
      </c>
      <c r="Q59" s="8" t="s">
        <v>188</v>
      </c>
      <c r="R59" s="8" t="s">
        <v>317</v>
      </c>
      <c r="S59" s="8"/>
      <c r="T59" s="8"/>
      <c r="U59" s="8" t="s">
        <v>261</v>
      </c>
      <c r="V59" s="8"/>
      <c r="W59" s="8" t="s">
        <v>306</v>
      </c>
      <c r="X59" s="8" t="s">
        <v>98</v>
      </c>
      <c r="Y59" s="8" t="s">
        <v>23</v>
      </c>
    </row>
    <row r="60" spans="1:25" s="7" customFormat="1" hidden="1" x14ac:dyDescent="0.25">
      <c r="A60" s="283" t="str">
        <f>"MARZO"</f>
        <v>MARZO</v>
      </c>
      <c r="B60" s="260">
        <v>45721</v>
      </c>
      <c r="C60" s="261" t="s">
        <v>309</v>
      </c>
      <c r="D60" s="261"/>
      <c r="E60" s="262">
        <v>290000</v>
      </c>
      <c r="F60" s="262">
        <v>0</v>
      </c>
      <c r="G60" s="285">
        <f>Tabla3[[#This Row],[INGRESOS]]-Tabla3[[#This Row],[EGRESOS]]</f>
        <v>-290000</v>
      </c>
      <c r="H60" s="285"/>
      <c r="I60" s="135">
        <v>1140</v>
      </c>
      <c r="J60" s="136">
        <f>Tabla3[[#This Row],[EGRESOS]]/Tabla3[[#This Row],[TC]]</f>
        <v>254.38596491228071</v>
      </c>
      <c r="K60" s="136">
        <f>Tabla3[[#This Row],[INGRESOS]]/Tabla3[[#This Row],[TC]]</f>
        <v>0</v>
      </c>
      <c r="L60" s="8" t="s">
        <v>303</v>
      </c>
      <c r="M60" s="8" t="s">
        <v>304</v>
      </c>
      <c r="N60" s="8" t="s">
        <v>25</v>
      </c>
      <c r="O60" s="8" t="s">
        <v>214</v>
      </c>
      <c r="P60" s="8" t="s">
        <v>216</v>
      </c>
      <c r="Q60" s="8" t="s">
        <v>217</v>
      </c>
      <c r="R60" s="8" t="s">
        <v>316</v>
      </c>
      <c r="S60" s="8"/>
      <c r="T60" s="8"/>
      <c r="U60" s="8" t="s">
        <v>262</v>
      </c>
      <c r="V60" s="8"/>
      <c r="W60" s="8" t="s">
        <v>306</v>
      </c>
      <c r="X60" s="8"/>
      <c r="Y60" s="8"/>
    </row>
    <row r="61" spans="1:25" s="7" customFormat="1" hidden="1" x14ac:dyDescent="0.25">
      <c r="A61" s="283" t="s">
        <v>235</v>
      </c>
      <c r="B61" s="260">
        <v>45727</v>
      </c>
      <c r="C61" s="261" t="s">
        <v>352</v>
      </c>
      <c r="D61" s="261"/>
      <c r="E61" s="262">
        <v>0</v>
      </c>
      <c r="F61" s="262">
        <v>310000</v>
      </c>
      <c r="G61" s="285">
        <f>Tabla3[[#This Row],[INGRESOS]]-Tabla3[[#This Row],[EGRESOS]]</f>
        <v>310000</v>
      </c>
      <c r="H61" s="137"/>
      <c r="I61" s="135">
        <v>1140</v>
      </c>
      <c r="J61" s="136">
        <f>Tabla3[[#This Row],[EGRESOS]]/Tabla3[[#This Row],[TC]]</f>
        <v>0</v>
      </c>
      <c r="K61" s="136">
        <f>Tabla3[[#This Row],[INGRESOS]]/Tabla3[[#This Row],[TC]]</f>
        <v>271.92982456140351</v>
      </c>
      <c r="L61" s="8" t="s">
        <v>303</v>
      </c>
      <c r="M61" s="8" t="s">
        <v>304</v>
      </c>
      <c r="N61" s="8" t="s">
        <v>25</v>
      </c>
      <c r="O61" s="8" t="s">
        <v>184</v>
      </c>
      <c r="P61" s="8" t="s">
        <v>194</v>
      </c>
      <c r="Q61" s="8" t="s">
        <v>236</v>
      </c>
      <c r="R61" s="8"/>
      <c r="S61" s="8" t="s">
        <v>311</v>
      </c>
      <c r="T61" s="8"/>
      <c r="U61" s="8" t="s">
        <v>272</v>
      </c>
      <c r="V61" s="8" t="s">
        <v>311</v>
      </c>
      <c r="W61" s="8" t="s">
        <v>306</v>
      </c>
      <c r="X61" s="8" t="s">
        <v>23</v>
      </c>
      <c r="Y61" s="8" t="s">
        <v>97</v>
      </c>
    </row>
    <row r="62" spans="1:25" s="7" customFormat="1" hidden="1" x14ac:dyDescent="0.25">
      <c r="A62" s="283" t="s">
        <v>235</v>
      </c>
      <c r="B62" s="260">
        <v>45727</v>
      </c>
      <c r="C62" s="261" t="s">
        <v>353</v>
      </c>
      <c r="D62" s="261"/>
      <c r="E62" s="262">
        <v>1860</v>
      </c>
      <c r="F62" s="262">
        <v>0</v>
      </c>
      <c r="G62" s="285">
        <f>Tabla3[[#This Row],[INGRESOS]]-Tabla3[[#This Row],[EGRESOS]]</f>
        <v>-1860</v>
      </c>
      <c r="H62" s="137"/>
      <c r="I62" s="135">
        <v>1140</v>
      </c>
      <c r="J62" s="136">
        <f>Tabla3[[#This Row],[EGRESOS]]/Tabla3[[#This Row],[TC]]</f>
        <v>1.631578947368421</v>
      </c>
      <c r="K62" s="136">
        <f>Tabla3[[#This Row],[INGRESOS]]/Tabla3[[#This Row],[TC]]</f>
        <v>0</v>
      </c>
      <c r="L62" s="8" t="s">
        <v>303</v>
      </c>
      <c r="M62" s="8" t="s">
        <v>304</v>
      </c>
      <c r="N62" s="8" t="s">
        <v>25</v>
      </c>
      <c r="O62" s="8" t="s">
        <v>184</v>
      </c>
      <c r="P62" s="8" t="s">
        <v>187</v>
      </c>
      <c r="Q62" s="8" t="s">
        <v>188</v>
      </c>
      <c r="R62" s="8" t="s">
        <v>317</v>
      </c>
      <c r="S62" s="8"/>
      <c r="T62" s="8"/>
      <c r="U62" s="8" t="s">
        <v>261</v>
      </c>
      <c r="V62" s="8"/>
      <c r="W62" s="8" t="s">
        <v>306</v>
      </c>
      <c r="X62" s="8" t="s">
        <v>98</v>
      </c>
      <c r="Y62" s="8" t="s">
        <v>23</v>
      </c>
    </row>
    <row r="63" spans="1:25" s="7" customFormat="1" hidden="1" x14ac:dyDescent="0.25">
      <c r="A63" s="283" t="s">
        <v>235</v>
      </c>
      <c r="B63" s="260">
        <v>45742</v>
      </c>
      <c r="C63" s="261" t="s">
        <v>354</v>
      </c>
      <c r="D63" s="261"/>
      <c r="E63" s="262">
        <v>0</v>
      </c>
      <c r="F63" s="262">
        <v>19664000</v>
      </c>
      <c r="G63" s="285">
        <f>Tabla3[[#This Row],[INGRESOS]]-Tabla3[[#This Row],[EGRESOS]]</f>
        <v>19664000</v>
      </c>
      <c r="H63" s="137">
        <v>9676221.3900000006</v>
      </c>
      <c r="I63" s="135">
        <v>1140</v>
      </c>
      <c r="J63" s="136">
        <f>Tabla3[[#This Row],[EGRESOS]]/Tabla3[[#This Row],[TC]]</f>
        <v>0</v>
      </c>
      <c r="K63" s="136">
        <f>Tabla3[[#This Row],[INGRESOS]]/Tabla3[[#This Row],[TC]]</f>
        <v>17249.122807017542</v>
      </c>
      <c r="L63" s="8" t="s">
        <v>303</v>
      </c>
      <c r="M63" s="8" t="s">
        <v>304</v>
      </c>
      <c r="N63" s="8" t="s">
        <v>25</v>
      </c>
      <c r="O63" s="8" t="s">
        <v>214</v>
      </c>
      <c r="P63" s="8" t="s">
        <v>218</v>
      </c>
      <c r="Q63" s="8" t="s">
        <v>240</v>
      </c>
      <c r="R63" s="8"/>
      <c r="S63" s="8" t="s">
        <v>25</v>
      </c>
      <c r="T63" s="8"/>
      <c r="U63" s="8" t="s">
        <v>264</v>
      </c>
      <c r="V63" s="8"/>
      <c r="W63" s="8" t="s">
        <v>306</v>
      </c>
      <c r="X63" s="8" t="s">
        <v>23</v>
      </c>
      <c r="Y63" s="8" t="s">
        <v>91</v>
      </c>
    </row>
    <row r="64" spans="1:25" s="7" customFormat="1" hidden="1" x14ac:dyDescent="0.25">
      <c r="A64" s="283" t="s">
        <v>235</v>
      </c>
      <c r="B64" s="260">
        <v>45747</v>
      </c>
      <c r="C64" s="261" t="s">
        <v>333</v>
      </c>
      <c r="D64" s="261"/>
      <c r="E64" s="262">
        <v>4722.55</v>
      </c>
      <c r="F64" s="262">
        <v>0</v>
      </c>
      <c r="G64" s="285">
        <f>Tabla3[[#This Row],[INGRESOS]]-Tabla3[[#This Row],[EGRESOS]]</f>
        <v>-4722.55</v>
      </c>
      <c r="H64" s="137"/>
      <c r="I64" s="135">
        <v>1140</v>
      </c>
      <c r="J64" s="136">
        <f>Tabla3[[#This Row],[EGRESOS]]/Tabla3[[#This Row],[TC]]</f>
        <v>4.1425877192982457</v>
      </c>
      <c r="K64" s="136">
        <f>Tabla3[[#This Row],[INGRESOS]]/Tabla3[[#This Row],[TC]]</f>
        <v>0</v>
      </c>
      <c r="L64" s="8" t="s">
        <v>303</v>
      </c>
      <c r="M64" s="8" t="s">
        <v>304</v>
      </c>
      <c r="N64" s="8" t="s">
        <v>25</v>
      </c>
      <c r="O64" s="8" t="s">
        <v>184</v>
      </c>
      <c r="P64" s="8" t="s">
        <v>187</v>
      </c>
      <c r="Q64" s="8" t="s">
        <v>188</v>
      </c>
      <c r="R64" s="8" t="s">
        <v>334</v>
      </c>
      <c r="S64" s="8"/>
      <c r="T64" s="8"/>
      <c r="U64" s="8" t="s">
        <v>261</v>
      </c>
      <c r="V64" s="8"/>
      <c r="W64" s="8" t="s">
        <v>306</v>
      </c>
      <c r="X64" s="8" t="s">
        <v>98</v>
      </c>
      <c r="Y64" s="8" t="s">
        <v>23</v>
      </c>
    </row>
    <row r="65" spans="1:25" s="7" customFormat="1" hidden="1" x14ac:dyDescent="0.25">
      <c r="A65" s="283" t="s">
        <v>235</v>
      </c>
      <c r="B65" s="260">
        <v>45747</v>
      </c>
      <c r="C65" s="261" t="s">
        <v>335</v>
      </c>
      <c r="D65" s="261"/>
      <c r="E65" s="262">
        <v>314836.5</v>
      </c>
      <c r="F65" s="262">
        <v>0</v>
      </c>
      <c r="G65" s="285">
        <f>Tabla3[[#This Row],[INGRESOS]]-Tabla3[[#This Row],[EGRESOS]]</f>
        <v>-314836.5</v>
      </c>
      <c r="H65" s="137"/>
      <c r="I65" s="135">
        <v>1140</v>
      </c>
      <c r="J65" s="136">
        <f>Tabla3[[#This Row],[EGRESOS]]/Tabla3[[#This Row],[TC]]</f>
        <v>276.17236842105262</v>
      </c>
      <c r="K65" s="136">
        <f>Tabla3[[#This Row],[INGRESOS]]/Tabla3[[#This Row],[TC]]</f>
        <v>0</v>
      </c>
      <c r="L65" s="8" t="s">
        <v>303</v>
      </c>
      <c r="M65" s="8" t="s">
        <v>304</v>
      </c>
      <c r="N65" s="8" t="s">
        <v>25</v>
      </c>
      <c r="O65" s="8" t="s">
        <v>184</v>
      </c>
      <c r="P65" s="8" t="s">
        <v>189</v>
      </c>
      <c r="Q65" s="8" t="s">
        <v>190</v>
      </c>
      <c r="R65" s="8"/>
      <c r="S65" s="8"/>
      <c r="T65" s="8"/>
      <c r="U65" s="8" t="s">
        <v>261</v>
      </c>
      <c r="V65" s="8"/>
      <c r="W65" s="8" t="s">
        <v>306</v>
      </c>
      <c r="X65" s="8" t="s">
        <v>98</v>
      </c>
      <c r="Y65" s="8" t="s">
        <v>23</v>
      </c>
    </row>
    <row r="66" spans="1:25" s="7" customFormat="1" hidden="1" x14ac:dyDescent="0.25">
      <c r="A66" s="283" t="s">
        <v>235</v>
      </c>
      <c r="B66" s="260">
        <v>45747</v>
      </c>
      <c r="C66" s="261" t="s">
        <v>307</v>
      </c>
      <c r="D66" s="261"/>
      <c r="E66" s="262">
        <v>2422.2399999999998</v>
      </c>
      <c r="F66" s="262">
        <v>0</v>
      </c>
      <c r="G66" s="285">
        <f>Tabla3[[#This Row],[INGRESOS]]-Tabla3[[#This Row],[EGRESOS]]</f>
        <v>-2422.2399999999998</v>
      </c>
      <c r="H66" s="137"/>
      <c r="I66" s="135">
        <v>1140</v>
      </c>
      <c r="J66" s="136">
        <f>Tabla3[[#This Row],[EGRESOS]]/Tabla3[[#This Row],[TC]]</f>
        <v>2.1247719298245613</v>
      </c>
      <c r="K66" s="136">
        <f>Tabla3[[#This Row],[INGRESOS]]/Tabla3[[#This Row],[TC]]</f>
        <v>0</v>
      </c>
      <c r="L66" s="8" t="s">
        <v>303</v>
      </c>
      <c r="M66" s="8" t="s">
        <v>304</v>
      </c>
      <c r="N66" s="8" t="s">
        <v>25</v>
      </c>
      <c r="O66" s="8" t="s">
        <v>184</v>
      </c>
      <c r="P66" s="8" t="s">
        <v>187</v>
      </c>
      <c r="Q66" s="8" t="s">
        <v>188</v>
      </c>
      <c r="R66" s="8" t="s">
        <v>308</v>
      </c>
      <c r="S66" s="8"/>
      <c r="T66" s="8"/>
      <c r="U66" s="8" t="s">
        <v>261</v>
      </c>
      <c r="V66" s="8"/>
      <c r="W66" s="8" t="s">
        <v>306</v>
      </c>
      <c r="X66" s="8" t="s">
        <v>98</v>
      </c>
      <c r="Y66" s="8" t="s">
        <v>23</v>
      </c>
    </row>
    <row r="67" spans="1:25" s="7" customFormat="1" hidden="1" x14ac:dyDescent="0.25">
      <c r="A67" s="283" t="s">
        <v>235</v>
      </c>
      <c r="B67" s="260">
        <v>45747</v>
      </c>
      <c r="C67" s="261" t="s">
        <v>336</v>
      </c>
      <c r="D67" s="261"/>
      <c r="E67" s="262">
        <v>33057.83</v>
      </c>
      <c r="F67" s="262">
        <v>0</v>
      </c>
      <c r="G67" s="285">
        <f>Tabla3[[#This Row],[INGRESOS]]-Tabla3[[#This Row],[EGRESOS]]</f>
        <v>-33057.83</v>
      </c>
      <c r="H67" s="137"/>
      <c r="I67" s="135">
        <v>1140</v>
      </c>
      <c r="J67" s="136">
        <f>Tabla3[[#This Row],[EGRESOS]]/Tabla3[[#This Row],[TC]]</f>
        <v>28.998096491228072</v>
      </c>
      <c r="K67" s="136">
        <f>Tabla3[[#This Row],[INGRESOS]]/Tabla3[[#This Row],[TC]]</f>
        <v>0</v>
      </c>
      <c r="L67" s="8" t="s">
        <v>303</v>
      </c>
      <c r="M67" s="8" t="s">
        <v>304</v>
      </c>
      <c r="N67" s="8" t="s">
        <v>25</v>
      </c>
      <c r="O67" s="8" t="s">
        <v>184</v>
      </c>
      <c r="P67" s="8" t="s">
        <v>187</v>
      </c>
      <c r="Q67" s="8" t="s">
        <v>188</v>
      </c>
      <c r="R67" s="8" t="s">
        <v>308</v>
      </c>
      <c r="S67" s="8"/>
      <c r="T67" s="8"/>
      <c r="U67" s="8" t="s">
        <v>261</v>
      </c>
      <c r="V67" s="8"/>
      <c r="W67" s="8" t="s">
        <v>355</v>
      </c>
      <c r="X67" s="8" t="s">
        <v>98</v>
      </c>
      <c r="Y67" s="8" t="s">
        <v>23</v>
      </c>
    </row>
    <row r="68" spans="1:25" s="7" customFormat="1" hidden="1" x14ac:dyDescent="0.25">
      <c r="A68" s="283" t="s">
        <v>235</v>
      </c>
      <c r="B68" s="260">
        <v>45747</v>
      </c>
      <c r="C68" s="261" t="s">
        <v>336</v>
      </c>
      <c r="D68" s="261"/>
      <c r="E68" s="262">
        <v>238.09</v>
      </c>
      <c r="F68" s="262">
        <v>0</v>
      </c>
      <c r="G68" s="285">
        <f>Tabla3[[#This Row],[INGRESOS]]-Tabla3[[#This Row],[EGRESOS]]</f>
        <v>-238.09</v>
      </c>
      <c r="H68" s="137"/>
      <c r="I68" s="135">
        <v>1140</v>
      </c>
      <c r="J68" s="136">
        <f>Tabla3[[#This Row],[EGRESOS]]/Tabla3[[#This Row],[TC]]</f>
        <v>0.20885087719298245</v>
      </c>
      <c r="K68" s="136">
        <f>Tabla3[[#This Row],[INGRESOS]]/Tabla3[[#This Row],[TC]]</f>
        <v>0</v>
      </c>
      <c r="L68" s="8" t="s">
        <v>303</v>
      </c>
      <c r="M68" s="8" t="s">
        <v>304</v>
      </c>
      <c r="N68" s="8" t="s">
        <v>25</v>
      </c>
      <c r="O68" s="8" t="s">
        <v>184</v>
      </c>
      <c r="P68" s="8" t="s">
        <v>187</v>
      </c>
      <c r="Q68" s="8" t="s">
        <v>188</v>
      </c>
      <c r="R68" s="8" t="s">
        <v>337</v>
      </c>
      <c r="S68" s="8"/>
      <c r="T68" s="8"/>
      <c r="U68" s="8" t="s">
        <v>261</v>
      </c>
      <c r="V68" s="8"/>
      <c r="W68" s="8" t="s">
        <v>355</v>
      </c>
      <c r="X68" s="8" t="s">
        <v>98</v>
      </c>
      <c r="Y68" s="8" t="s">
        <v>23</v>
      </c>
    </row>
    <row r="69" spans="1:25" s="7" customFormat="1" hidden="1" x14ac:dyDescent="0.25">
      <c r="A69" s="283" t="s">
        <v>235</v>
      </c>
      <c r="B69" s="260">
        <v>45747</v>
      </c>
      <c r="C69" s="261" t="s">
        <v>336</v>
      </c>
      <c r="D69" s="261"/>
      <c r="E69" s="262">
        <v>119.04</v>
      </c>
      <c r="F69" s="262">
        <v>0</v>
      </c>
      <c r="G69" s="285">
        <f>Tabla3[[#This Row],[INGRESOS]]-Tabla3[[#This Row],[EGRESOS]]</f>
        <v>-119.04</v>
      </c>
      <c r="H69" s="137"/>
      <c r="I69" s="135">
        <v>1140</v>
      </c>
      <c r="J69" s="136">
        <f>Tabla3[[#This Row],[EGRESOS]]/Tabla3[[#This Row],[TC]]</f>
        <v>0.10442105263157896</v>
      </c>
      <c r="K69" s="136">
        <f>Tabla3[[#This Row],[INGRESOS]]/Tabla3[[#This Row],[TC]]</f>
        <v>0</v>
      </c>
      <c r="L69" s="8" t="s">
        <v>303</v>
      </c>
      <c r="M69" s="8" t="s">
        <v>304</v>
      </c>
      <c r="N69" s="8" t="s">
        <v>25</v>
      </c>
      <c r="O69" s="8" t="s">
        <v>184</v>
      </c>
      <c r="P69" s="8" t="s">
        <v>187</v>
      </c>
      <c r="Q69" s="8" t="s">
        <v>188</v>
      </c>
      <c r="R69" s="8" t="s">
        <v>337</v>
      </c>
      <c r="S69" s="8"/>
      <c r="T69" s="8"/>
      <c r="U69" s="8" t="s">
        <v>261</v>
      </c>
      <c r="V69" s="8"/>
      <c r="W69" s="8" t="s">
        <v>355</v>
      </c>
      <c r="X69" s="8" t="s">
        <v>98</v>
      </c>
      <c r="Y69" s="8" t="s">
        <v>23</v>
      </c>
    </row>
    <row r="70" spans="1:25" s="7" customFormat="1" hidden="1" x14ac:dyDescent="0.25">
      <c r="A70" s="283" t="s">
        <v>235</v>
      </c>
      <c r="B70" s="260">
        <v>45747</v>
      </c>
      <c r="C70" s="261" t="s">
        <v>356</v>
      </c>
      <c r="D70" s="261"/>
      <c r="E70" s="262">
        <v>1133.74</v>
      </c>
      <c r="F70" s="262">
        <v>0</v>
      </c>
      <c r="G70" s="285">
        <f>Tabla3[[#This Row],[INGRESOS]]-Tabla3[[#This Row],[EGRESOS]]</f>
        <v>-1133.74</v>
      </c>
      <c r="H70" s="137"/>
      <c r="I70" s="135">
        <v>1140</v>
      </c>
      <c r="J70" s="136">
        <f>Tabla3[[#This Row],[EGRESOS]]/Tabla3[[#This Row],[TC]]</f>
        <v>0.99450877192982456</v>
      </c>
      <c r="K70" s="136">
        <f>Tabla3[[#This Row],[INGRESOS]]/Tabla3[[#This Row],[TC]]</f>
        <v>0</v>
      </c>
      <c r="L70" s="8" t="s">
        <v>303</v>
      </c>
      <c r="M70" s="8" t="s">
        <v>304</v>
      </c>
      <c r="N70" s="8" t="s">
        <v>25</v>
      </c>
      <c r="O70" s="8" t="s">
        <v>184</v>
      </c>
      <c r="P70" s="8" t="s">
        <v>189</v>
      </c>
      <c r="Q70" s="8" t="s">
        <v>190</v>
      </c>
      <c r="R70" s="8"/>
      <c r="S70" s="8"/>
      <c r="T70" s="8"/>
      <c r="U70" s="8" t="s">
        <v>261</v>
      </c>
      <c r="V70" s="8"/>
      <c r="W70" s="8" t="s">
        <v>355</v>
      </c>
      <c r="X70" s="8" t="s">
        <v>98</v>
      </c>
      <c r="Y70" s="8" t="s">
        <v>23</v>
      </c>
    </row>
    <row r="71" spans="1:25" s="7" customFormat="1" hidden="1" x14ac:dyDescent="0.25">
      <c r="A71" s="283" t="s">
        <v>235</v>
      </c>
      <c r="B71" s="260">
        <v>45747</v>
      </c>
      <c r="C71" s="261" t="s">
        <v>232</v>
      </c>
      <c r="D71" s="261"/>
      <c r="E71" s="262">
        <v>6615</v>
      </c>
      <c r="F71" s="262">
        <v>0</v>
      </c>
      <c r="G71" s="285">
        <f>Tabla3[[#This Row],[INGRESOS]]-Tabla3[[#This Row],[EGRESOS]]</f>
        <v>-6615</v>
      </c>
      <c r="H71" s="137"/>
      <c r="I71" s="135">
        <v>1140</v>
      </c>
      <c r="J71" s="136">
        <f>Tabla3[[#This Row],[EGRESOS]]/Tabla3[[#This Row],[TC]]</f>
        <v>5.8026315789473681</v>
      </c>
      <c r="K71" s="136">
        <f>Tabla3[[#This Row],[INGRESOS]]/Tabla3[[#This Row],[TC]]</f>
        <v>0</v>
      </c>
      <c r="L71" s="8" t="s">
        <v>303</v>
      </c>
      <c r="M71" s="8" t="s">
        <v>304</v>
      </c>
      <c r="N71" s="8" t="s">
        <v>25</v>
      </c>
      <c r="O71" s="8" t="s">
        <v>184</v>
      </c>
      <c r="P71" s="8" t="s">
        <v>187</v>
      </c>
      <c r="Q71" s="8" t="s">
        <v>188</v>
      </c>
      <c r="R71" s="8" t="s">
        <v>232</v>
      </c>
      <c r="S71" s="8"/>
      <c r="T71" s="8"/>
      <c r="U71" s="8" t="s">
        <v>261</v>
      </c>
      <c r="V71" s="8"/>
      <c r="W71" s="8" t="s">
        <v>355</v>
      </c>
      <c r="X71" s="8" t="s">
        <v>98</v>
      </c>
      <c r="Y71" s="8" t="s">
        <v>23</v>
      </c>
    </row>
    <row r="72" spans="1:25" s="7" customFormat="1" hidden="1" x14ac:dyDescent="0.25">
      <c r="A72" s="283" t="s">
        <v>235</v>
      </c>
      <c r="B72" s="260">
        <v>45747</v>
      </c>
      <c r="C72" s="261" t="s">
        <v>356</v>
      </c>
      <c r="D72" s="261"/>
      <c r="E72" s="262">
        <v>2267.48</v>
      </c>
      <c r="F72" s="262">
        <v>0</v>
      </c>
      <c r="G72" s="285">
        <f>Tabla3[[#This Row],[INGRESOS]]-Tabla3[[#This Row],[EGRESOS]]</f>
        <v>-2267.48</v>
      </c>
      <c r="H72" s="137"/>
      <c r="I72" s="135">
        <v>1140</v>
      </c>
      <c r="J72" s="136">
        <f>Tabla3[[#This Row],[EGRESOS]]/Tabla3[[#This Row],[TC]]</f>
        <v>1.9890175438596491</v>
      </c>
      <c r="K72" s="136">
        <f>Tabla3[[#This Row],[INGRESOS]]/Tabla3[[#This Row],[TC]]</f>
        <v>0</v>
      </c>
      <c r="L72" s="8" t="s">
        <v>303</v>
      </c>
      <c r="M72" s="8" t="s">
        <v>304</v>
      </c>
      <c r="N72" s="8" t="s">
        <v>25</v>
      </c>
      <c r="O72" s="8" t="s">
        <v>184</v>
      </c>
      <c r="P72" s="8" t="s">
        <v>189</v>
      </c>
      <c r="Q72" s="8" t="s">
        <v>190</v>
      </c>
      <c r="R72" s="8"/>
      <c r="S72" s="8"/>
      <c r="T72" s="8"/>
      <c r="U72" s="8" t="s">
        <v>261</v>
      </c>
      <c r="V72" s="8"/>
      <c r="W72" s="8" t="s">
        <v>355</v>
      </c>
      <c r="X72" s="8" t="s">
        <v>98</v>
      </c>
      <c r="Y72" s="8" t="s">
        <v>23</v>
      </c>
    </row>
    <row r="73" spans="1:25" s="7" customFormat="1" hidden="1" x14ac:dyDescent="0.25">
      <c r="A73" s="283" t="s">
        <v>235</v>
      </c>
      <c r="B73" s="260">
        <v>45747</v>
      </c>
      <c r="C73" s="261" t="s">
        <v>338</v>
      </c>
      <c r="D73" s="261"/>
      <c r="E73" s="262">
        <v>8213.15</v>
      </c>
      <c r="F73" s="262">
        <v>0</v>
      </c>
      <c r="G73" s="285">
        <f>Tabla3[[#This Row],[INGRESOS]]-Tabla3[[#This Row],[EGRESOS]]</f>
        <v>-8213.15</v>
      </c>
      <c r="H73" s="137"/>
      <c r="I73" s="135">
        <v>1140</v>
      </c>
      <c r="J73" s="136">
        <f>Tabla3[[#This Row],[EGRESOS]]/Tabla3[[#This Row],[TC]]</f>
        <v>7.2045175438596489</v>
      </c>
      <c r="K73" s="136">
        <f>Tabla3[[#This Row],[INGRESOS]]/Tabla3[[#This Row],[TC]]</f>
        <v>0</v>
      </c>
      <c r="L73" s="8" t="s">
        <v>303</v>
      </c>
      <c r="M73" s="8" t="s">
        <v>304</v>
      </c>
      <c r="N73" s="8" t="s">
        <v>25</v>
      </c>
      <c r="O73" s="8" t="s">
        <v>184</v>
      </c>
      <c r="P73" s="8" t="s">
        <v>187</v>
      </c>
      <c r="Q73" s="8" t="s">
        <v>188</v>
      </c>
      <c r="R73" s="8" t="s">
        <v>339</v>
      </c>
      <c r="S73" s="8"/>
      <c r="T73" s="8"/>
      <c r="U73" s="8" t="s">
        <v>261</v>
      </c>
      <c r="V73" s="8"/>
      <c r="W73" s="8" t="s">
        <v>355</v>
      </c>
      <c r="X73" s="8" t="s">
        <v>98</v>
      </c>
      <c r="Y73" s="8" t="s">
        <v>23</v>
      </c>
    </row>
    <row r="74" spans="1:25" s="7" customFormat="1" hidden="1" x14ac:dyDescent="0.25">
      <c r="A74" s="283" t="s">
        <v>235</v>
      </c>
      <c r="B74" s="260">
        <v>45747</v>
      </c>
      <c r="C74" s="261" t="s">
        <v>338</v>
      </c>
      <c r="D74" s="261"/>
      <c r="E74" s="262">
        <v>59.15</v>
      </c>
      <c r="F74" s="262">
        <v>0</v>
      </c>
      <c r="G74" s="285">
        <f>Tabla3[[#This Row],[INGRESOS]]-Tabla3[[#This Row],[EGRESOS]]</f>
        <v>-59.15</v>
      </c>
      <c r="H74" s="137"/>
      <c r="I74" s="135">
        <v>1140</v>
      </c>
      <c r="J74" s="136">
        <f>Tabla3[[#This Row],[EGRESOS]]/Tabla3[[#This Row],[TC]]</f>
        <v>5.1885964912280702E-2</v>
      </c>
      <c r="K74" s="136">
        <f>Tabla3[[#This Row],[INGRESOS]]/Tabla3[[#This Row],[TC]]</f>
        <v>0</v>
      </c>
      <c r="L74" s="8" t="s">
        <v>303</v>
      </c>
      <c r="M74" s="8" t="s">
        <v>304</v>
      </c>
      <c r="N74" s="8" t="s">
        <v>25</v>
      </c>
      <c r="O74" s="8" t="s">
        <v>184</v>
      </c>
      <c r="P74" s="8" t="s">
        <v>187</v>
      </c>
      <c r="Q74" s="8" t="s">
        <v>188</v>
      </c>
      <c r="R74" s="8" t="s">
        <v>339</v>
      </c>
      <c r="S74" s="8"/>
      <c r="T74" s="8"/>
      <c r="U74" s="8" t="s">
        <v>261</v>
      </c>
      <c r="V74" s="8"/>
      <c r="W74" s="8" t="s">
        <v>355</v>
      </c>
      <c r="X74" s="8" t="s">
        <v>98</v>
      </c>
      <c r="Y74" s="8" t="s">
        <v>23</v>
      </c>
    </row>
    <row r="75" spans="1:25" s="7" customFormat="1" hidden="1" x14ac:dyDescent="0.25">
      <c r="A75" s="283" t="s">
        <v>235</v>
      </c>
      <c r="B75" s="260">
        <v>45747</v>
      </c>
      <c r="C75" s="261" t="s">
        <v>384</v>
      </c>
      <c r="D75" s="261"/>
      <c r="E75" s="262">
        <v>31500</v>
      </c>
      <c r="F75" s="262">
        <v>0</v>
      </c>
      <c r="G75" s="285">
        <f>Tabla3[[#This Row],[INGRESOS]]-Tabla3[[#This Row],[EGRESOS]]</f>
        <v>-31500</v>
      </c>
      <c r="H75" s="137"/>
      <c r="I75" s="135">
        <v>1140</v>
      </c>
      <c r="J75" s="136">
        <f>Tabla3[[#This Row],[EGRESOS]]/Tabla3[[#This Row],[TC]]</f>
        <v>27.631578947368421</v>
      </c>
      <c r="K75" s="136">
        <f>Tabla3[[#This Row],[INGRESOS]]/Tabla3[[#This Row],[TC]]</f>
        <v>0</v>
      </c>
      <c r="L75" s="8" t="s">
        <v>303</v>
      </c>
      <c r="M75" s="8" t="s">
        <v>304</v>
      </c>
      <c r="N75" s="8" t="s">
        <v>25</v>
      </c>
      <c r="O75" s="8" t="s">
        <v>184</v>
      </c>
      <c r="P75" s="8" t="s">
        <v>185</v>
      </c>
      <c r="Q75" s="8" t="s">
        <v>186</v>
      </c>
      <c r="R75" s="8"/>
      <c r="S75" s="8"/>
      <c r="T75" s="8"/>
      <c r="U75" s="8" t="s">
        <v>261</v>
      </c>
      <c r="V75" s="8"/>
      <c r="W75" s="8" t="s">
        <v>355</v>
      </c>
      <c r="X75" s="8" t="s">
        <v>98</v>
      </c>
      <c r="Y75" s="8" t="s">
        <v>23</v>
      </c>
    </row>
    <row r="76" spans="1:25" s="7" customFormat="1" hidden="1" x14ac:dyDescent="0.25">
      <c r="A76" s="283" t="s">
        <v>235</v>
      </c>
      <c r="B76" s="260">
        <v>45747</v>
      </c>
      <c r="C76" s="261" t="s">
        <v>334</v>
      </c>
      <c r="D76" s="261"/>
      <c r="E76" s="262">
        <v>945</v>
      </c>
      <c r="F76" s="262">
        <v>0</v>
      </c>
      <c r="G76" s="285">
        <f>Tabla3[[#This Row],[INGRESOS]]-Tabla3[[#This Row],[EGRESOS]]</f>
        <v>-945</v>
      </c>
      <c r="H76" s="137"/>
      <c r="I76" s="135">
        <v>1140</v>
      </c>
      <c r="J76" s="136">
        <f>Tabla3[[#This Row],[EGRESOS]]/Tabla3[[#This Row],[TC]]</f>
        <v>0.82894736842105265</v>
      </c>
      <c r="K76" s="136">
        <f>Tabla3[[#This Row],[INGRESOS]]/Tabla3[[#This Row],[TC]]</f>
        <v>0</v>
      </c>
      <c r="L76" s="8" t="s">
        <v>303</v>
      </c>
      <c r="M76" s="8" t="s">
        <v>304</v>
      </c>
      <c r="N76" s="8" t="s">
        <v>25</v>
      </c>
      <c r="O76" s="8" t="s">
        <v>184</v>
      </c>
      <c r="P76" s="8" t="s">
        <v>187</v>
      </c>
      <c r="Q76" s="8" t="s">
        <v>188</v>
      </c>
      <c r="R76" s="8" t="s">
        <v>334</v>
      </c>
      <c r="S76" s="8"/>
      <c r="T76" s="8"/>
      <c r="U76" s="8" t="s">
        <v>261</v>
      </c>
      <c r="V76" s="8"/>
      <c r="W76" s="8" t="s">
        <v>355</v>
      </c>
      <c r="X76" s="8" t="s">
        <v>98</v>
      </c>
      <c r="Y76" s="8" t="s">
        <v>23</v>
      </c>
    </row>
    <row r="77" spans="1:25" s="7" customFormat="1" hidden="1" x14ac:dyDescent="0.25">
      <c r="A77" s="283" t="s">
        <v>242</v>
      </c>
      <c r="B77" s="260">
        <v>45748</v>
      </c>
      <c r="C77" s="261" t="s">
        <v>307</v>
      </c>
      <c r="D77" s="261"/>
      <c r="E77" s="262">
        <v>44.64</v>
      </c>
      <c r="F77" s="262">
        <v>0</v>
      </c>
      <c r="G77" s="285">
        <f>Tabla3[[#This Row],[INGRESOS]]-Tabla3[[#This Row],[EGRESOS]]</f>
        <v>-44.64</v>
      </c>
      <c r="H77" s="137"/>
      <c r="I77" s="135">
        <v>1140</v>
      </c>
      <c r="J77" s="136">
        <f>Tabla3[[#This Row],[EGRESOS]]/Tabla3[[#This Row],[TC]]</f>
        <v>3.9157894736842107E-2</v>
      </c>
      <c r="K77" s="136">
        <f>Tabla3[[#This Row],[INGRESOS]]/Tabla3[[#This Row],[TC]]</f>
        <v>0</v>
      </c>
      <c r="L77" s="8" t="s">
        <v>303</v>
      </c>
      <c r="M77" s="8" t="s">
        <v>304</v>
      </c>
      <c r="N77" s="8" t="s">
        <v>25</v>
      </c>
      <c r="O77" s="8" t="s">
        <v>184</v>
      </c>
      <c r="P77" s="8" t="s">
        <v>187</v>
      </c>
      <c r="Q77" s="8" t="s">
        <v>188</v>
      </c>
      <c r="R77" s="8" t="s">
        <v>308</v>
      </c>
      <c r="S77" s="8"/>
      <c r="T77" s="8"/>
      <c r="U77" s="8" t="s">
        <v>261</v>
      </c>
      <c r="V77" s="8"/>
      <c r="W77" s="8" t="s">
        <v>355</v>
      </c>
      <c r="X77" s="8" t="s">
        <v>98</v>
      </c>
      <c r="Y77" s="8" t="s">
        <v>23</v>
      </c>
    </row>
    <row r="78" spans="1:25" s="7" customFormat="1" hidden="1" x14ac:dyDescent="0.25">
      <c r="A78" s="283" t="s">
        <v>242</v>
      </c>
      <c r="B78" s="260">
        <v>45748</v>
      </c>
      <c r="C78" s="261" t="s">
        <v>309</v>
      </c>
      <c r="D78" s="261"/>
      <c r="E78" s="262">
        <v>19600000</v>
      </c>
      <c r="F78" s="262">
        <v>0</v>
      </c>
      <c r="G78" s="285">
        <f>Tabla3[[#This Row],[INGRESOS]]-Tabla3[[#This Row],[EGRESOS]]</f>
        <v>-19600000</v>
      </c>
      <c r="H78" s="137"/>
      <c r="I78" s="135">
        <v>1140</v>
      </c>
      <c r="J78" s="136">
        <f>Tabla3[[#This Row],[EGRESOS]]/Tabla3[[#This Row],[TC]]</f>
        <v>17192.982456140351</v>
      </c>
      <c r="K78" s="136">
        <f>Tabla3[[#This Row],[INGRESOS]]/Tabla3[[#This Row],[TC]]</f>
        <v>0</v>
      </c>
      <c r="L78" s="8" t="s">
        <v>303</v>
      </c>
      <c r="M78" s="8" t="s">
        <v>304</v>
      </c>
      <c r="N78" s="8" t="s">
        <v>25</v>
      </c>
      <c r="O78" s="8" t="s">
        <v>214</v>
      </c>
      <c r="P78" s="8" t="s">
        <v>216</v>
      </c>
      <c r="Q78" s="8" t="s">
        <v>217</v>
      </c>
      <c r="R78" s="8" t="s">
        <v>357</v>
      </c>
      <c r="S78" s="8"/>
      <c r="T78" s="8"/>
      <c r="U78" s="8" t="s">
        <v>262</v>
      </c>
      <c r="V78" s="8"/>
      <c r="W78" s="8" t="s">
        <v>306</v>
      </c>
      <c r="X78" s="8"/>
      <c r="Y78" s="8"/>
    </row>
    <row r="79" spans="1:25" s="7" customFormat="1" hidden="1" x14ac:dyDescent="0.25">
      <c r="A79" s="283" t="s">
        <v>242</v>
      </c>
      <c r="B79" s="260">
        <v>45748</v>
      </c>
      <c r="C79" s="261" t="s">
        <v>358</v>
      </c>
      <c r="D79" s="261"/>
      <c r="E79" s="262">
        <v>6000</v>
      </c>
      <c r="F79" s="262">
        <v>0</v>
      </c>
      <c r="G79" s="285">
        <f>Tabla3[[#This Row],[INGRESOS]]-Tabla3[[#This Row],[EGRESOS]]</f>
        <v>-6000</v>
      </c>
      <c r="H79" s="137"/>
      <c r="I79" s="135">
        <v>1140</v>
      </c>
      <c r="J79" s="136">
        <f>Tabla3[[#This Row],[EGRESOS]]/Tabla3[[#This Row],[TC]]</f>
        <v>5.2631578947368425</v>
      </c>
      <c r="K79" s="136">
        <f>Tabla3[[#This Row],[INGRESOS]]/Tabla3[[#This Row],[TC]]</f>
        <v>0</v>
      </c>
      <c r="L79" s="8" t="s">
        <v>303</v>
      </c>
      <c r="M79" s="8" t="s">
        <v>304</v>
      </c>
      <c r="N79" s="8" t="s">
        <v>25</v>
      </c>
      <c r="O79" s="8" t="s">
        <v>184</v>
      </c>
      <c r="P79" s="8" t="s">
        <v>185</v>
      </c>
      <c r="Q79" s="8" t="s">
        <v>186</v>
      </c>
      <c r="R79" s="8"/>
      <c r="S79" s="8"/>
      <c r="T79" s="8"/>
      <c r="U79" s="8" t="s">
        <v>261</v>
      </c>
      <c r="V79" s="8"/>
      <c r="W79" s="8" t="s">
        <v>355</v>
      </c>
      <c r="X79" s="8" t="s">
        <v>98</v>
      </c>
      <c r="Y79" s="8" t="s">
        <v>23</v>
      </c>
    </row>
    <row r="80" spans="1:25" s="7" customFormat="1" hidden="1" x14ac:dyDescent="0.25">
      <c r="A80" s="283" t="s">
        <v>242</v>
      </c>
      <c r="B80" s="260">
        <v>45748</v>
      </c>
      <c r="C80" s="261" t="s">
        <v>232</v>
      </c>
      <c r="D80" s="261"/>
      <c r="E80" s="262">
        <v>1260</v>
      </c>
      <c r="F80" s="262">
        <v>0</v>
      </c>
      <c r="G80" s="285">
        <f>Tabla3[[#This Row],[INGRESOS]]-Tabla3[[#This Row],[EGRESOS]]</f>
        <v>-1260</v>
      </c>
      <c r="H80" s="137"/>
      <c r="I80" s="135">
        <v>1140</v>
      </c>
      <c r="J80" s="136">
        <f>Tabla3[[#This Row],[EGRESOS]]/Tabla3[[#This Row],[TC]]</f>
        <v>1.1052631578947369</v>
      </c>
      <c r="K80" s="136">
        <f>Tabla3[[#This Row],[INGRESOS]]/Tabla3[[#This Row],[TC]]</f>
        <v>0</v>
      </c>
      <c r="L80" s="8" t="s">
        <v>303</v>
      </c>
      <c r="M80" s="8" t="s">
        <v>304</v>
      </c>
      <c r="N80" s="8" t="s">
        <v>25</v>
      </c>
      <c r="O80" s="8" t="s">
        <v>184</v>
      </c>
      <c r="P80" s="8" t="s">
        <v>187</v>
      </c>
      <c r="Q80" s="8" t="s">
        <v>188</v>
      </c>
      <c r="R80" s="8" t="s">
        <v>232</v>
      </c>
      <c r="S80" s="8"/>
      <c r="T80" s="8"/>
      <c r="U80" s="8" t="s">
        <v>261</v>
      </c>
      <c r="V80" s="8"/>
      <c r="W80" s="8" t="s">
        <v>355</v>
      </c>
      <c r="X80" s="8" t="s">
        <v>98</v>
      </c>
      <c r="Y80" s="8" t="s">
        <v>23</v>
      </c>
    </row>
    <row r="81" spans="1:25" s="7" customFormat="1" hidden="1" x14ac:dyDescent="0.25">
      <c r="A81" s="283" t="s">
        <v>242</v>
      </c>
      <c r="B81" s="260">
        <v>45748</v>
      </c>
      <c r="C81" s="261" t="s">
        <v>334</v>
      </c>
      <c r="D81" s="261"/>
      <c r="E81" s="262">
        <v>180</v>
      </c>
      <c r="F81" s="262">
        <v>0</v>
      </c>
      <c r="G81" s="285">
        <f>Tabla3[[#This Row],[INGRESOS]]-Tabla3[[#This Row],[EGRESOS]]</f>
        <v>-180</v>
      </c>
      <c r="H81" s="137"/>
      <c r="I81" s="135">
        <v>1140</v>
      </c>
      <c r="J81" s="136">
        <f>Tabla3[[#This Row],[EGRESOS]]/Tabla3[[#This Row],[TC]]</f>
        <v>0.15789473684210525</v>
      </c>
      <c r="K81" s="136">
        <f>Tabla3[[#This Row],[INGRESOS]]/Tabla3[[#This Row],[TC]]</f>
        <v>0</v>
      </c>
      <c r="L81" s="8" t="s">
        <v>303</v>
      </c>
      <c r="M81" s="8" t="s">
        <v>304</v>
      </c>
      <c r="N81" s="8" t="s">
        <v>25</v>
      </c>
      <c r="O81" s="8" t="s">
        <v>184</v>
      </c>
      <c r="P81" s="8" t="s">
        <v>187</v>
      </c>
      <c r="Q81" s="8" t="s">
        <v>188</v>
      </c>
      <c r="R81" s="8" t="s">
        <v>334</v>
      </c>
      <c r="S81" s="8"/>
      <c r="T81" s="8"/>
      <c r="U81" s="8" t="s">
        <v>261</v>
      </c>
      <c r="V81" s="8"/>
      <c r="W81" s="8" t="s">
        <v>355</v>
      </c>
      <c r="X81" s="8" t="s">
        <v>98</v>
      </c>
      <c r="Y81" s="8" t="s">
        <v>23</v>
      </c>
    </row>
    <row r="82" spans="1:25" s="7" customFormat="1" hidden="1" x14ac:dyDescent="0.25">
      <c r="A82" s="283" t="s">
        <v>242</v>
      </c>
      <c r="B82" s="260">
        <v>45756</v>
      </c>
      <c r="C82" s="261" t="s">
        <v>359</v>
      </c>
      <c r="D82" s="261"/>
      <c r="E82" s="262">
        <v>0</v>
      </c>
      <c r="F82" s="262">
        <v>350000</v>
      </c>
      <c r="G82" s="285">
        <f>Tabla3[[#This Row],[INGRESOS]]-Tabla3[[#This Row],[EGRESOS]]</f>
        <v>350000</v>
      </c>
      <c r="H82" s="137">
        <v>-9987393.0199999996</v>
      </c>
      <c r="I82" s="135">
        <v>1140</v>
      </c>
      <c r="J82" s="136">
        <f>Tabla3[[#This Row],[EGRESOS]]/Tabla3[[#This Row],[TC]]</f>
        <v>0</v>
      </c>
      <c r="K82" s="136">
        <f>Tabla3[[#This Row],[INGRESOS]]/Tabla3[[#This Row],[TC]]</f>
        <v>307.01754385964909</v>
      </c>
      <c r="L82" s="8" t="s">
        <v>303</v>
      </c>
      <c r="M82" s="8" t="s">
        <v>304</v>
      </c>
      <c r="N82" s="8" t="s">
        <v>25</v>
      </c>
      <c r="O82" s="8" t="s">
        <v>214</v>
      </c>
      <c r="P82" s="8" t="s">
        <v>216</v>
      </c>
      <c r="Q82" s="8" t="s">
        <v>217</v>
      </c>
      <c r="R82" s="8" t="s">
        <v>360</v>
      </c>
      <c r="S82" s="8"/>
      <c r="T82" s="8"/>
      <c r="U82" s="8" t="s">
        <v>262</v>
      </c>
      <c r="V82" s="8"/>
      <c r="W82" s="8" t="s">
        <v>306</v>
      </c>
      <c r="X82" s="8"/>
      <c r="Y82" s="8"/>
    </row>
    <row r="83" spans="1:25" s="7" customFormat="1" hidden="1" x14ac:dyDescent="0.25">
      <c r="A83" s="283" t="s">
        <v>242</v>
      </c>
      <c r="B83" s="260">
        <v>45772</v>
      </c>
      <c r="C83" s="261" t="s">
        <v>361</v>
      </c>
      <c r="D83" s="261"/>
      <c r="E83" s="262">
        <v>0</v>
      </c>
      <c r="F83" s="262">
        <v>50000</v>
      </c>
      <c r="G83" s="285">
        <f>Tabla3[[#This Row],[INGRESOS]]-Tabla3[[#This Row],[EGRESOS]]</f>
        <v>50000</v>
      </c>
      <c r="H83" s="133"/>
      <c r="I83" s="135">
        <v>1140</v>
      </c>
      <c r="J83" s="136">
        <f>Tabla3[[#This Row],[EGRESOS]]/Tabla3[[#This Row],[TC]]</f>
        <v>0</v>
      </c>
      <c r="K83" s="136">
        <f>Tabla3[[#This Row],[INGRESOS]]/Tabla3[[#This Row],[TC]]</f>
        <v>43.859649122807021</v>
      </c>
      <c r="L83" s="8" t="s">
        <v>303</v>
      </c>
      <c r="M83" s="8" t="s">
        <v>304</v>
      </c>
      <c r="N83" s="8" t="s">
        <v>25</v>
      </c>
      <c r="O83" s="8" t="s">
        <v>184</v>
      </c>
      <c r="P83" s="8" t="s">
        <v>194</v>
      </c>
      <c r="Q83" s="8" t="s">
        <v>236</v>
      </c>
      <c r="R83" s="8"/>
      <c r="S83" s="8" t="s">
        <v>311</v>
      </c>
      <c r="T83" s="8"/>
      <c r="U83" s="8" t="s">
        <v>272</v>
      </c>
      <c r="V83" s="8" t="s">
        <v>311</v>
      </c>
      <c r="W83" s="8" t="s">
        <v>306</v>
      </c>
      <c r="X83" s="8" t="s">
        <v>23</v>
      </c>
      <c r="Y83" s="8" t="s">
        <v>97</v>
      </c>
    </row>
    <row r="84" spans="1:25" s="7" customFormat="1" hidden="1" x14ac:dyDescent="0.25">
      <c r="A84" s="283" t="s">
        <v>242</v>
      </c>
      <c r="B84" s="260">
        <v>45772</v>
      </c>
      <c r="C84" s="261" t="s">
        <v>362</v>
      </c>
      <c r="D84" s="261"/>
      <c r="E84" s="262">
        <v>22331.49</v>
      </c>
      <c r="F84" s="262">
        <v>0</v>
      </c>
      <c r="G84" s="285">
        <f>Tabla3[[#This Row],[INGRESOS]]-Tabla3[[#This Row],[EGRESOS]]</f>
        <v>-22331.49</v>
      </c>
      <c r="H84" s="133"/>
      <c r="I84" s="135">
        <v>1140</v>
      </c>
      <c r="J84" s="136">
        <f>Tabla3[[#This Row],[EGRESOS]]/Tabla3[[#This Row],[TC]]</f>
        <v>19.589026315789475</v>
      </c>
      <c r="K84" s="136">
        <f>Tabla3[[#This Row],[INGRESOS]]/Tabla3[[#This Row],[TC]]</f>
        <v>0</v>
      </c>
      <c r="L84" s="8" t="s">
        <v>303</v>
      </c>
      <c r="M84" s="8" t="s">
        <v>304</v>
      </c>
      <c r="N84" s="8" t="s">
        <v>25</v>
      </c>
      <c r="O84" s="8" t="s">
        <v>184</v>
      </c>
      <c r="P84" s="8" t="s">
        <v>187</v>
      </c>
      <c r="Q84" s="8" t="s">
        <v>188</v>
      </c>
      <c r="R84" s="8" t="s">
        <v>317</v>
      </c>
      <c r="S84" s="8"/>
      <c r="T84" s="8"/>
      <c r="U84" s="8" t="s">
        <v>261</v>
      </c>
      <c r="V84" s="8"/>
      <c r="W84" s="8" t="s">
        <v>306</v>
      </c>
      <c r="X84" s="8" t="s">
        <v>98</v>
      </c>
      <c r="Y84" s="8" t="s">
        <v>23</v>
      </c>
    </row>
    <row r="85" spans="1:25" s="7" customFormat="1" hidden="1" x14ac:dyDescent="0.25">
      <c r="A85" s="283" t="s">
        <v>242</v>
      </c>
      <c r="B85" s="260">
        <v>45772</v>
      </c>
      <c r="C85" s="261" t="s">
        <v>363</v>
      </c>
      <c r="D85" s="261"/>
      <c r="E85" s="262">
        <v>8400</v>
      </c>
      <c r="F85" s="262">
        <v>0</v>
      </c>
      <c r="G85" s="285">
        <f>Tabla3[[#This Row],[INGRESOS]]-Tabla3[[#This Row],[EGRESOS]]</f>
        <v>-8400</v>
      </c>
      <c r="H85" s="133"/>
      <c r="I85" s="135">
        <v>1140</v>
      </c>
      <c r="J85" s="136">
        <f>Tabla3[[#This Row],[EGRESOS]]/Tabla3[[#This Row],[TC]]</f>
        <v>7.3684210526315788</v>
      </c>
      <c r="K85" s="136">
        <f>Tabla3[[#This Row],[INGRESOS]]/Tabla3[[#This Row],[TC]]</f>
        <v>0</v>
      </c>
      <c r="L85" s="8" t="s">
        <v>303</v>
      </c>
      <c r="M85" s="8" t="s">
        <v>304</v>
      </c>
      <c r="N85" s="8" t="s">
        <v>25</v>
      </c>
      <c r="O85" s="8" t="s">
        <v>184</v>
      </c>
      <c r="P85" s="8" t="s">
        <v>187</v>
      </c>
      <c r="Q85" s="8" t="s">
        <v>188</v>
      </c>
      <c r="R85" s="8" t="s">
        <v>317</v>
      </c>
      <c r="S85" s="8"/>
      <c r="T85" s="8"/>
      <c r="U85" s="8" t="s">
        <v>261</v>
      </c>
      <c r="V85" s="8"/>
      <c r="W85" s="8" t="s">
        <v>306</v>
      </c>
      <c r="X85" s="8" t="s">
        <v>98</v>
      </c>
      <c r="Y85" s="8" t="s">
        <v>23</v>
      </c>
    </row>
    <row r="86" spans="1:25" s="7" customFormat="1" hidden="1" x14ac:dyDescent="0.25">
      <c r="A86" s="283" t="s">
        <v>242</v>
      </c>
      <c r="B86" s="260">
        <v>45772</v>
      </c>
      <c r="C86" s="261" t="s">
        <v>359</v>
      </c>
      <c r="D86" s="261"/>
      <c r="E86" s="262">
        <v>0</v>
      </c>
      <c r="F86" s="262">
        <v>2340000</v>
      </c>
      <c r="G86" s="285">
        <f>Tabla3[[#This Row],[INGRESOS]]-Tabla3[[#This Row],[EGRESOS]]</f>
        <v>2340000</v>
      </c>
      <c r="H86" s="137"/>
      <c r="I86" s="135">
        <v>1140</v>
      </c>
      <c r="J86" s="136">
        <f>Tabla3[[#This Row],[EGRESOS]]/Tabla3[[#This Row],[TC]]</f>
        <v>0</v>
      </c>
      <c r="K86" s="136">
        <f>Tabla3[[#This Row],[INGRESOS]]/Tabla3[[#This Row],[TC]]</f>
        <v>2052.6315789473683</v>
      </c>
      <c r="L86" s="8" t="s">
        <v>303</v>
      </c>
      <c r="M86" s="8" t="s">
        <v>304</v>
      </c>
      <c r="N86" s="8" t="s">
        <v>25</v>
      </c>
      <c r="O86" s="8" t="s">
        <v>214</v>
      </c>
      <c r="P86" s="8" t="s">
        <v>216</v>
      </c>
      <c r="Q86" s="8" t="s">
        <v>217</v>
      </c>
      <c r="R86" s="8" t="s">
        <v>360</v>
      </c>
      <c r="S86" s="8"/>
      <c r="T86" s="8"/>
      <c r="U86" s="8" t="s">
        <v>262</v>
      </c>
      <c r="V86" s="8"/>
      <c r="W86" s="8" t="s">
        <v>306</v>
      </c>
      <c r="X86" s="8"/>
      <c r="Y86" s="8"/>
    </row>
    <row r="87" spans="1:25" s="7" customFormat="1" hidden="1" x14ac:dyDescent="0.25">
      <c r="A87" s="283" t="s">
        <v>242</v>
      </c>
      <c r="B87" s="260">
        <v>45772</v>
      </c>
      <c r="C87" s="261" t="s">
        <v>359</v>
      </c>
      <c r="D87" s="261"/>
      <c r="E87" s="262">
        <v>0</v>
      </c>
      <c r="F87" s="262">
        <v>1350000</v>
      </c>
      <c r="G87" s="285">
        <f>Tabla3[[#This Row],[INGRESOS]]-Tabla3[[#This Row],[EGRESOS]]</f>
        <v>1350000</v>
      </c>
      <c r="H87" s="137"/>
      <c r="I87" s="135">
        <v>1140</v>
      </c>
      <c r="J87" s="136">
        <f>Tabla3[[#This Row],[EGRESOS]]/Tabla3[[#This Row],[TC]]</f>
        <v>0</v>
      </c>
      <c r="K87" s="136">
        <f>Tabla3[[#This Row],[INGRESOS]]/Tabla3[[#This Row],[TC]]</f>
        <v>1184.2105263157894</v>
      </c>
      <c r="L87" s="8" t="s">
        <v>303</v>
      </c>
      <c r="M87" s="8" t="s">
        <v>304</v>
      </c>
      <c r="N87" s="8" t="s">
        <v>25</v>
      </c>
      <c r="O87" s="8" t="s">
        <v>184</v>
      </c>
      <c r="P87" s="8" t="s">
        <v>237</v>
      </c>
      <c r="Q87" s="8" t="s">
        <v>236</v>
      </c>
      <c r="R87" s="8" t="s">
        <v>364</v>
      </c>
      <c r="S87" s="8" t="s">
        <v>365</v>
      </c>
      <c r="T87" s="8"/>
      <c r="U87" s="8" t="s">
        <v>273</v>
      </c>
      <c r="V87" s="8"/>
      <c r="W87" s="8" t="s">
        <v>306</v>
      </c>
      <c r="X87" s="8" t="s">
        <v>23</v>
      </c>
      <c r="Y87" s="8" t="s">
        <v>45</v>
      </c>
    </row>
    <row r="88" spans="1:25" s="7" customFormat="1" hidden="1" x14ac:dyDescent="0.25">
      <c r="A88" s="283" t="s">
        <v>242</v>
      </c>
      <c r="B88" s="260">
        <v>45772</v>
      </c>
      <c r="C88" s="261" t="s">
        <v>366</v>
      </c>
      <c r="D88" s="261"/>
      <c r="E88" s="262">
        <v>3721914.98</v>
      </c>
      <c r="F88" s="262">
        <v>0</v>
      </c>
      <c r="G88" s="285">
        <f>Tabla3[[#This Row],[INGRESOS]]-Tabla3[[#This Row],[EGRESOS]]</f>
        <v>-3721914.98</v>
      </c>
      <c r="H88" s="137">
        <v>-10000039.49</v>
      </c>
      <c r="I88" s="135">
        <v>1140</v>
      </c>
      <c r="J88" s="136">
        <f>Tabla3[[#This Row],[EGRESOS]]/Tabla3[[#This Row],[TC]]</f>
        <v>3264.8377017543858</v>
      </c>
      <c r="K88" s="136">
        <f>Tabla3[[#This Row],[INGRESOS]]/Tabla3[[#This Row],[TC]]</f>
        <v>0</v>
      </c>
      <c r="L88" s="8" t="s">
        <v>303</v>
      </c>
      <c r="M88" s="8" t="s">
        <v>304</v>
      </c>
      <c r="N88" s="8" t="s">
        <v>25</v>
      </c>
      <c r="O88" s="8" t="s">
        <v>214</v>
      </c>
      <c r="P88" s="8" t="s">
        <v>38</v>
      </c>
      <c r="Q88" s="8" t="s">
        <v>243</v>
      </c>
      <c r="R88" s="8" t="s">
        <v>802</v>
      </c>
      <c r="S88" s="8"/>
      <c r="T88" s="8"/>
      <c r="U88" s="8" t="s">
        <v>275</v>
      </c>
      <c r="V88" s="8"/>
      <c r="W88" s="8" t="s">
        <v>306</v>
      </c>
      <c r="X88" s="8" t="s">
        <v>91</v>
      </c>
      <c r="Y88" s="8" t="s">
        <v>23</v>
      </c>
    </row>
    <row r="89" spans="1:25" s="7" customFormat="1" hidden="1" x14ac:dyDescent="0.25">
      <c r="A89" s="283" t="s">
        <v>242</v>
      </c>
      <c r="B89" s="260">
        <v>45776</v>
      </c>
      <c r="C89" s="261" t="s">
        <v>361</v>
      </c>
      <c r="D89" s="261"/>
      <c r="E89" s="262">
        <v>0</v>
      </c>
      <c r="F89" s="262">
        <v>1000</v>
      </c>
      <c r="G89" s="285">
        <f>Tabla3[[#This Row],[INGRESOS]]-Tabla3[[#This Row],[EGRESOS]]</f>
        <v>1000</v>
      </c>
      <c r="H89" s="137"/>
      <c r="I89" s="135">
        <v>1140</v>
      </c>
      <c r="J89" s="136">
        <f>Tabla3[[#This Row],[EGRESOS]]/Tabla3[[#This Row],[TC]]</f>
        <v>0</v>
      </c>
      <c r="K89" s="136">
        <f>Tabla3[[#This Row],[INGRESOS]]/Tabla3[[#This Row],[TC]]</f>
        <v>0.8771929824561403</v>
      </c>
      <c r="L89" s="8" t="s">
        <v>303</v>
      </c>
      <c r="M89" s="8" t="s">
        <v>304</v>
      </c>
      <c r="N89" s="8" t="s">
        <v>25</v>
      </c>
      <c r="O89" s="8" t="s">
        <v>184</v>
      </c>
      <c r="P89" s="8" t="s">
        <v>194</v>
      </c>
      <c r="Q89" s="8" t="s">
        <v>236</v>
      </c>
      <c r="R89" s="8"/>
      <c r="S89" s="8" t="s">
        <v>311</v>
      </c>
      <c r="T89" s="8"/>
      <c r="U89" s="8" t="s">
        <v>272</v>
      </c>
      <c r="V89" s="8" t="s">
        <v>311</v>
      </c>
      <c r="W89" s="8" t="s">
        <v>306</v>
      </c>
      <c r="X89" s="8" t="s">
        <v>23</v>
      </c>
      <c r="Y89" s="8" t="s">
        <v>97</v>
      </c>
    </row>
    <row r="90" spans="1:25" s="7" customFormat="1" hidden="1" x14ac:dyDescent="0.25">
      <c r="A90" s="283" t="s">
        <v>242</v>
      </c>
      <c r="B90" s="260">
        <v>45776</v>
      </c>
      <c r="C90" s="261" t="s">
        <v>363</v>
      </c>
      <c r="D90" s="261"/>
      <c r="E90" s="262">
        <v>6</v>
      </c>
      <c r="F90" s="262">
        <v>0</v>
      </c>
      <c r="G90" s="285">
        <f>Tabla3[[#This Row],[INGRESOS]]-Tabla3[[#This Row],[EGRESOS]]</f>
        <v>-6</v>
      </c>
      <c r="H90" s="137">
        <v>-9999045.4900000002</v>
      </c>
      <c r="I90" s="135">
        <v>1140</v>
      </c>
      <c r="J90" s="136">
        <f>Tabla3[[#This Row],[EGRESOS]]/Tabla3[[#This Row],[TC]]</f>
        <v>5.263157894736842E-3</v>
      </c>
      <c r="K90" s="136">
        <f>Tabla3[[#This Row],[INGRESOS]]/Tabla3[[#This Row],[TC]]</f>
        <v>0</v>
      </c>
      <c r="L90" s="8" t="s">
        <v>303</v>
      </c>
      <c r="M90" s="8" t="s">
        <v>304</v>
      </c>
      <c r="N90" s="8" t="s">
        <v>25</v>
      </c>
      <c r="O90" s="8" t="s">
        <v>184</v>
      </c>
      <c r="P90" s="8" t="s">
        <v>187</v>
      </c>
      <c r="Q90" s="8" t="s">
        <v>188</v>
      </c>
      <c r="R90" s="8" t="s">
        <v>317</v>
      </c>
      <c r="S90" s="8"/>
      <c r="T90" s="8"/>
      <c r="U90" s="8" t="s">
        <v>261</v>
      </c>
      <c r="V90" s="8"/>
      <c r="W90" s="8" t="s">
        <v>306</v>
      </c>
      <c r="X90" s="8" t="s">
        <v>98</v>
      </c>
      <c r="Y90" s="8" t="s">
        <v>23</v>
      </c>
    </row>
    <row r="91" spans="1:25" s="7" customFormat="1" hidden="1" x14ac:dyDescent="0.25">
      <c r="A91" s="283" t="s">
        <v>242</v>
      </c>
      <c r="B91" s="260">
        <v>45777</v>
      </c>
      <c r="C91" s="261" t="s">
        <v>367</v>
      </c>
      <c r="D91" s="261"/>
      <c r="E91" s="262">
        <v>6283.35</v>
      </c>
      <c r="F91" s="262">
        <v>0</v>
      </c>
      <c r="G91" s="285">
        <f>Tabla3[[#This Row],[INGRESOS]]-Tabla3[[#This Row],[EGRESOS]]</f>
        <v>-6283.35</v>
      </c>
      <c r="H91" s="137"/>
      <c r="I91" s="135">
        <v>1141</v>
      </c>
      <c r="J91" s="136">
        <f>Tabla3[[#This Row],[EGRESOS]]/Tabla3[[#This Row],[TC]]</f>
        <v>5.5068799298860656</v>
      </c>
      <c r="K91" s="136">
        <f>Tabla3[[#This Row],[INGRESOS]]/Tabla3[[#This Row],[TC]]</f>
        <v>0</v>
      </c>
      <c r="L91" s="8" t="s">
        <v>303</v>
      </c>
      <c r="M91" s="8" t="s">
        <v>304</v>
      </c>
      <c r="N91" s="8" t="s">
        <v>25</v>
      </c>
      <c r="O91" s="8" t="s">
        <v>184</v>
      </c>
      <c r="P91" s="8" t="s">
        <v>187</v>
      </c>
      <c r="Q91" s="8" t="s">
        <v>188</v>
      </c>
      <c r="R91" s="8" t="s">
        <v>334</v>
      </c>
      <c r="S91" s="8"/>
      <c r="T91" s="8"/>
      <c r="U91" s="8" t="s">
        <v>261</v>
      </c>
      <c r="V91" s="8"/>
      <c r="W91" s="8" t="s">
        <v>368</v>
      </c>
      <c r="X91" s="8" t="s">
        <v>98</v>
      </c>
      <c r="Y91" s="8" t="s">
        <v>23</v>
      </c>
    </row>
    <row r="92" spans="1:25" s="7" customFormat="1" hidden="1" x14ac:dyDescent="0.25">
      <c r="A92" s="283" t="s">
        <v>242</v>
      </c>
      <c r="B92" s="260">
        <v>45777</v>
      </c>
      <c r="C92" s="261" t="s">
        <v>369</v>
      </c>
      <c r="D92" s="261"/>
      <c r="E92" s="262">
        <v>418889.79</v>
      </c>
      <c r="F92" s="262">
        <v>0</v>
      </c>
      <c r="G92" s="285">
        <f>Tabla3[[#This Row],[INGRESOS]]-Tabla3[[#This Row],[EGRESOS]]</f>
        <v>-418889.79</v>
      </c>
      <c r="H92" s="137"/>
      <c r="I92" s="135">
        <v>1142</v>
      </c>
      <c r="J92" s="136">
        <f>Tabla3[[#This Row],[EGRESOS]]/Tabla3[[#This Row],[TC]]</f>
        <v>366.8036690017513</v>
      </c>
      <c r="K92" s="136">
        <f>Tabla3[[#This Row],[INGRESOS]]/Tabla3[[#This Row],[TC]]</f>
        <v>0</v>
      </c>
      <c r="L92" s="8" t="s">
        <v>303</v>
      </c>
      <c r="M92" s="8" t="s">
        <v>304</v>
      </c>
      <c r="N92" s="8" t="s">
        <v>25</v>
      </c>
      <c r="O92" s="8" t="s">
        <v>184</v>
      </c>
      <c r="P92" s="8" t="s">
        <v>189</v>
      </c>
      <c r="Q92" s="8" t="s">
        <v>190</v>
      </c>
      <c r="R92" s="8"/>
      <c r="S92" s="8"/>
      <c r="T92" s="8"/>
      <c r="U92" s="8" t="s">
        <v>261</v>
      </c>
      <c r="V92" s="8"/>
      <c r="W92" s="8" t="s">
        <v>370</v>
      </c>
      <c r="X92" s="8" t="s">
        <v>98</v>
      </c>
      <c r="Y92" s="8" t="s">
        <v>23</v>
      </c>
    </row>
    <row r="93" spans="1:25" s="7" customFormat="1" hidden="1" x14ac:dyDescent="0.25">
      <c r="A93" s="283" t="s">
        <v>242</v>
      </c>
      <c r="B93" s="260">
        <v>45777</v>
      </c>
      <c r="C93" s="261" t="s">
        <v>362</v>
      </c>
      <c r="D93" s="261"/>
      <c r="E93" s="262">
        <v>3191.16</v>
      </c>
      <c r="F93" s="262">
        <v>0</v>
      </c>
      <c r="G93" s="285">
        <f>Tabla3[[#This Row],[INGRESOS]]-Tabla3[[#This Row],[EGRESOS]]</f>
        <v>-3191.16</v>
      </c>
      <c r="H93" s="137"/>
      <c r="I93" s="135">
        <v>1143</v>
      </c>
      <c r="J93" s="136">
        <f>Tabla3[[#This Row],[EGRESOS]]/Tabla3[[#This Row],[TC]]</f>
        <v>2.7919160104986873</v>
      </c>
      <c r="K93" s="136">
        <f>Tabla3[[#This Row],[INGRESOS]]/Tabla3[[#This Row],[TC]]</f>
        <v>0</v>
      </c>
      <c r="L93" s="8" t="s">
        <v>303</v>
      </c>
      <c r="M93" s="8" t="s">
        <v>304</v>
      </c>
      <c r="N93" s="8" t="s">
        <v>25</v>
      </c>
      <c r="O93" s="8" t="s">
        <v>184</v>
      </c>
      <c r="P93" s="8" t="s">
        <v>187</v>
      </c>
      <c r="Q93" s="8" t="s">
        <v>188</v>
      </c>
      <c r="R93" s="8" t="s">
        <v>308</v>
      </c>
      <c r="S93" s="8"/>
      <c r="T93" s="8"/>
      <c r="U93" s="8" t="s">
        <v>261</v>
      </c>
      <c r="V93" s="8"/>
      <c r="W93" s="8" t="s">
        <v>371</v>
      </c>
      <c r="X93" s="8" t="s">
        <v>98</v>
      </c>
      <c r="Y93" s="8" t="s">
        <v>23</v>
      </c>
    </row>
    <row r="94" spans="1:25" s="7" customFormat="1" hidden="1" x14ac:dyDescent="0.25">
      <c r="A94" s="283" t="s">
        <v>242</v>
      </c>
      <c r="B94" s="260">
        <v>45777</v>
      </c>
      <c r="C94" s="261" t="s">
        <v>372</v>
      </c>
      <c r="D94" s="261"/>
      <c r="E94" s="262">
        <v>43983.43</v>
      </c>
      <c r="F94" s="262">
        <v>0</v>
      </c>
      <c r="G94" s="285">
        <f>Tabla3[[#This Row],[INGRESOS]]-Tabla3[[#This Row],[EGRESOS]]</f>
        <v>-43983.43</v>
      </c>
      <c r="H94" s="137"/>
      <c r="I94" s="135">
        <v>1144</v>
      </c>
      <c r="J94" s="136">
        <f>Tabla3[[#This Row],[EGRESOS]]/Tabla3[[#This Row],[TC]]</f>
        <v>38.447054195804199</v>
      </c>
      <c r="K94" s="136">
        <f>Tabla3[[#This Row],[INGRESOS]]/Tabla3[[#This Row],[TC]]</f>
        <v>0</v>
      </c>
      <c r="L94" s="8" t="s">
        <v>303</v>
      </c>
      <c r="M94" s="8" t="s">
        <v>304</v>
      </c>
      <c r="N94" s="8" t="s">
        <v>25</v>
      </c>
      <c r="O94" s="8" t="s">
        <v>184</v>
      </c>
      <c r="P94" s="8" t="s">
        <v>187</v>
      </c>
      <c r="Q94" s="8" t="s">
        <v>188</v>
      </c>
      <c r="R94" s="8" t="s">
        <v>337</v>
      </c>
      <c r="S94" s="8"/>
      <c r="T94" s="8"/>
      <c r="U94" s="8" t="s">
        <v>261</v>
      </c>
      <c r="V94" s="8"/>
      <c r="W94" s="8" t="s">
        <v>373</v>
      </c>
      <c r="X94" s="8" t="s">
        <v>98</v>
      </c>
      <c r="Y94" s="8" t="s">
        <v>23</v>
      </c>
    </row>
    <row r="95" spans="1:25" s="7" customFormat="1" hidden="1" x14ac:dyDescent="0.25">
      <c r="A95" s="283" t="s">
        <v>242</v>
      </c>
      <c r="B95" s="260">
        <v>45777</v>
      </c>
      <c r="C95" s="261" t="s">
        <v>372</v>
      </c>
      <c r="D95" s="261"/>
      <c r="E95" s="262">
        <v>357.2</v>
      </c>
      <c r="F95" s="262">
        <v>0</v>
      </c>
      <c r="G95" s="285">
        <f>Tabla3[[#This Row],[INGRESOS]]-Tabla3[[#This Row],[EGRESOS]]</f>
        <v>-357.2</v>
      </c>
      <c r="H95" s="137"/>
      <c r="I95" s="135">
        <v>1145</v>
      </c>
      <c r="J95" s="136">
        <f>Tabla3[[#This Row],[EGRESOS]]/Tabla3[[#This Row],[TC]]</f>
        <v>0.31196506550218339</v>
      </c>
      <c r="K95" s="136">
        <f>Tabla3[[#This Row],[INGRESOS]]/Tabla3[[#This Row],[TC]]</f>
        <v>0</v>
      </c>
      <c r="L95" s="8" t="s">
        <v>303</v>
      </c>
      <c r="M95" s="8" t="s">
        <v>304</v>
      </c>
      <c r="N95" s="8" t="s">
        <v>25</v>
      </c>
      <c r="O95" s="8" t="s">
        <v>184</v>
      </c>
      <c r="P95" s="8" t="s">
        <v>187</v>
      </c>
      <c r="Q95" s="8" t="s">
        <v>188</v>
      </c>
      <c r="R95" s="8" t="s">
        <v>337</v>
      </c>
      <c r="S95" s="8"/>
      <c r="T95" s="8"/>
      <c r="U95" s="8" t="s">
        <v>261</v>
      </c>
      <c r="V95" s="8"/>
      <c r="W95" s="8" t="s">
        <v>374</v>
      </c>
      <c r="X95" s="8" t="s">
        <v>98</v>
      </c>
      <c r="Y95" s="8" t="s">
        <v>23</v>
      </c>
    </row>
    <row r="96" spans="1:25" s="7" customFormat="1" hidden="1" x14ac:dyDescent="0.25">
      <c r="A96" s="283" t="s">
        <v>242</v>
      </c>
      <c r="B96" s="260">
        <v>45777</v>
      </c>
      <c r="C96" s="261" t="s">
        <v>372</v>
      </c>
      <c r="D96" s="261"/>
      <c r="E96" s="262">
        <v>178.6</v>
      </c>
      <c r="F96" s="262">
        <v>0</v>
      </c>
      <c r="G96" s="285">
        <f>Tabla3[[#This Row],[INGRESOS]]-Tabla3[[#This Row],[EGRESOS]]</f>
        <v>-178.6</v>
      </c>
      <c r="H96" s="137"/>
      <c r="I96" s="135">
        <v>1146</v>
      </c>
      <c r="J96" s="136">
        <f>Tabla3[[#This Row],[EGRESOS]]/Tabla3[[#This Row],[TC]]</f>
        <v>0.15584642233856894</v>
      </c>
      <c r="K96" s="136">
        <f>Tabla3[[#This Row],[INGRESOS]]/Tabla3[[#This Row],[TC]]</f>
        <v>0</v>
      </c>
      <c r="L96" s="8" t="s">
        <v>303</v>
      </c>
      <c r="M96" s="8" t="s">
        <v>304</v>
      </c>
      <c r="N96" s="8" t="s">
        <v>25</v>
      </c>
      <c r="O96" s="8" t="s">
        <v>184</v>
      </c>
      <c r="P96" s="8" t="s">
        <v>187</v>
      </c>
      <c r="Q96" s="8" t="s">
        <v>188</v>
      </c>
      <c r="R96" s="8" t="s">
        <v>337</v>
      </c>
      <c r="S96" s="8"/>
      <c r="T96" s="8"/>
      <c r="U96" s="8" t="s">
        <v>261</v>
      </c>
      <c r="V96" s="8"/>
      <c r="W96" s="8" t="s">
        <v>375</v>
      </c>
      <c r="X96" s="8" t="s">
        <v>98</v>
      </c>
      <c r="Y96" s="8" t="s">
        <v>23</v>
      </c>
    </row>
    <row r="97" spans="1:25" s="7" customFormat="1" hidden="1" x14ac:dyDescent="0.25">
      <c r="A97" s="283" t="s">
        <v>242</v>
      </c>
      <c r="B97" s="260">
        <v>45777</v>
      </c>
      <c r="C97" s="261" t="s">
        <v>376</v>
      </c>
      <c r="D97" s="261"/>
      <c r="E97" s="262">
        <v>1700.96</v>
      </c>
      <c r="F97" s="262">
        <v>0</v>
      </c>
      <c r="G97" s="285">
        <f>Tabla3[[#This Row],[INGRESOS]]-Tabla3[[#This Row],[EGRESOS]]</f>
        <v>-1700.96</v>
      </c>
      <c r="H97" s="137"/>
      <c r="I97" s="135">
        <v>1147</v>
      </c>
      <c r="J97" s="136">
        <f>Tabla3[[#This Row],[EGRESOS]]/Tabla3[[#This Row],[TC]]</f>
        <v>1.4829642545771577</v>
      </c>
      <c r="K97" s="136">
        <f>Tabla3[[#This Row],[INGRESOS]]/Tabla3[[#This Row],[TC]]</f>
        <v>0</v>
      </c>
      <c r="L97" s="8" t="s">
        <v>303</v>
      </c>
      <c r="M97" s="8" t="s">
        <v>304</v>
      </c>
      <c r="N97" s="8" t="s">
        <v>25</v>
      </c>
      <c r="O97" s="8" t="s">
        <v>184</v>
      </c>
      <c r="P97" s="8" t="s">
        <v>189</v>
      </c>
      <c r="Q97" s="8" t="s">
        <v>190</v>
      </c>
      <c r="R97" s="8"/>
      <c r="S97" s="8"/>
      <c r="T97" s="8"/>
      <c r="U97" s="8" t="s">
        <v>261</v>
      </c>
      <c r="V97" s="8"/>
      <c r="W97" s="8" t="s">
        <v>377</v>
      </c>
      <c r="X97" s="8" t="s">
        <v>98</v>
      </c>
      <c r="Y97" s="8" t="s">
        <v>23</v>
      </c>
    </row>
    <row r="98" spans="1:25" s="7" customFormat="1" hidden="1" x14ac:dyDescent="0.25">
      <c r="A98" s="283" t="s">
        <v>242</v>
      </c>
      <c r="B98" s="260">
        <v>45777</v>
      </c>
      <c r="C98" s="261" t="s">
        <v>232</v>
      </c>
      <c r="D98" s="261"/>
      <c r="E98" s="262">
        <v>7980</v>
      </c>
      <c r="F98" s="262">
        <v>0</v>
      </c>
      <c r="G98" s="285">
        <f>Tabla3[[#This Row],[INGRESOS]]-Tabla3[[#This Row],[EGRESOS]]</f>
        <v>-7980</v>
      </c>
      <c r="H98" s="137"/>
      <c r="I98" s="135">
        <v>1148</v>
      </c>
      <c r="J98" s="136">
        <f>Tabla3[[#This Row],[EGRESOS]]/Tabla3[[#This Row],[TC]]</f>
        <v>6.9512195121951219</v>
      </c>
      <c r="K98" s="136">
        <f>Tabla3[[#This Row],[INGRESOS]]/Tabla3[[#This Row],[TC]]</f>
        <v>0</v>
      </c>
      <c r="L98" s="8" t="s">
        <v>303</v>
      </c>
      <c r="M98" s="8" t="s">
        <v>304</v>
      </c>
      <c r="N98" s="8" t="s">
        <v>25</v>
      </c>
      <c r="O98" s="8" t="s">
        <v>184</v>
      </c>
      <c r="P98" s="8" t="s">
        <v>187</v>
      </c>
      <c r="Q98" s="8" t="s">
        <v>188</v>
      </c>
      <c r="R98" s="8" t="s">
        <v>308</v>
      </c>
      <c r="S98" s="8"/>
      <c r="T98" s="8"/>
      <c r="U98" s="8" t="s">
        <v>261</v>
      </c>
      <c r="V98" s="8"/>
      <c r="W98" s="8" t="s">
        <v>378</v>
      </c>
      <c r="X98" s="8" t="s">
        <v>98</v>
      </c>
      <c r="Y98" s="8" t="s">
        <v>23</v>
      </c>
    </row>
    <row r="99" spans="1:25" s="7" customFormat="1" hidden="1" x14ac:dyDescent="0.25">
      <c r="A99" s="283" t="s">
        <v>242</v>
      </c>
      <c r="B99" s="260">
        <v>45777</v>
      </c>
      <c r="C99" s="261" t="s">
        <v>379</v>
      </c>
      <c r="D99" s="261"/>
      <c r="E99" s="262">
        <v>3401.92</v>
      </c>
      <c r="F99" s="262">
        <v>0</v>
      </c>
      <c r="G99" s="285">
        <f>Tabla3[[#This Row],[INGRESOS]]-Tabla3[[#This Row],[EGRESOS]]</f>
        <v>-3401.92</v>
      </c>
      <c r="H99" s="133"/>
      <c r="I99" s="135">
        <v>1149</v>
      </c>
      <c r="J99" s="136">
        <f>Tabla3[[#This Row],[EGRESOS]]/Tabla3[[#This Row],[TC]]</f>
        <v>2.9607658833768493</v>
      </c>
      <c r="K99" s="136">
        <f>Tabla3[[#This Row],[INGRESOS]]/Tabla3[[#This Row],[TC]]</f>
        <v>0</v>
      </c>
      <c r="L99" s="8" t="s">
        <v>303</v>
      </c>
      <c r="M99" s="8" t="s">
        <v>304</v>
      </c>
      <c r="N99" s="8" t="s">
        <v>25</v>
      </c>
      <c r="O99" s="8" t="s">
        <v>184</v>
      </c>
      <c r="P99" s="8" t="s">
        <v>189</v>
      </c>
      <c r="Q99" s="8" t="s">
        <v>190</v>
      </c>
      <c r="R99" s="8"/>
      <c r="S99" s="8"/>
      <c r="T99" s="8"/>
      <c r="U99" s="8" t="s">
        <v>261</v>
      </c>
      <c r="V99" s="8"/>
      <c r="W99" s="8" t="s">
        <v>380</v>
      </c>
      <c r="X99" s="8" t="s">
        <v>98</v>
      </c>
      <c r="Y99" s="8" t="s">
        <v>23</v>
      </c>
    </row>
    <row r="100" spans="1:25" s="7" customFormat="1" hidden="1" x14ac:dyDescent="0.25">
      <c r="A100" s="283" t="s">
        <v>242</v>
      </c>
      <c r="B100" s="260">
        <v>45777</v>
      </c>
      <c r="C100" s="261" t="s">
        <v>381</v>
      </c>
      <c r="D100" s="261"/>
      <c r="E100" s="262">
        <v>9856.32</v>
      </c>
      <c r="F100" s="262">
        <v>0</v>
      </c>
      <c r="G100" s="285">
        <f>Tabla3[[#This Row],[INGRESOS]]-Tabla3[[#This Row],[EGRESOS]]</f>
        <v>-9856.32</v>
      </c>
      <c r="H100" s="133"/>
      <c r="I100" s="135">
        <v>1150</v>
      </c>
      <c r="J100" s="136">
        <f>Tabla3[[#This Row],[EGRESOS]]/Tabla3[[#This Row],[TC]]</f>
        <v>8.5707130434782606</v>
      </c>
      <c r="K100" s="136">
        <f>Tabla3[[#This Row],[INGRESOS]]/Tabla3[[#This Row],[TC]]</f>
        <v>0</v>
      </c>
      <c r="L100" s="8" t="s">
        <v>303</v>
      </c>
      <c r="M100" s="8" t="s">
        <v>304</v>
      </c>
      <c r="N100" s="8" t="s">
        <v>25</v>
      </c>
      <c r="O100" s="8" t="s">
        <v>184</v>
      </c>
      <c r="P100" s="8" t="s">
        <v>187</v>
      </c>
      <c r="Q100" s="8" t="s">
        <v>188</v>
      </c>
      <c r="R100" s="8" t="s">
        <v>339</v>
      </c>
      <c r="S100" s="8"/>
      <c r="T100" s="8"/>
      <c r="U100" s="8" t="s">
        <v>261</v>
      </c>
      <c r="V100" s="8"/>
      <c r="W100" s="8" t="s">
        <v>382</v>
      </c>
      <c r="X100" s="8" t="s">
        <v>98</v>
      </c>
      <c r="Y100" s="8" t="s">
        <v>23</v>
      </c>
    </row>
    <row r="101" spans="1:25" s="7" customFormat="1" hidden="1" x14ac:dyDescent="0.25">
      <c r="A101" s="283" t="s">
        <v>242</v>
      </c>
      <c r="B101" s="260">
        <v>45777</v>
      </c>
      <c r="C101" s="261" t="s">
        <v>381</v>
      </c>
      <c r="D101" s="261"/>
      <c r="E101" s="262">
        <v>88.74</v>
      </c>
      <c r="F101" s="262">
        <v>0</v>
      </c>
      <c r="G101" s="285">
        <f>Tabla3[[#This Row],[INGRESOS]]-Tabla3[[#This Row],[EGRESOS]]</f>
        <v>-88.74</v>
      </c>
      <c r="H101" s="133"/>
      <c r="I101" s="135">
        <v>1151</v>
      </c>
      <c r="J101" s="136">
        <f>Tabla3[[#This Row],[EGRESOS]]/Tabla3[[#This Row],[TC]]</f>
        <v>7.7098175499565588E-2</v>
      </c>
      <c r="K101" s="136">
        <f>Tabla3[[#This Row],[INGRESOS]]/Tabla3[[#This Row],[TC]]</f>
        <v>0</v>
      </c>
      <c r="L101" s="8" t="s">
        <v>303</v>
      </c>
      <c r="M101" s="8" t="s">
        <v>304</v>
      </c>
      <c r="N101" s="8" t="s">
        <v>25</v>
      </c>
      <c r="O101" s="8" t="s">
        <v>184</v>
      </c>
      <c r="P101" s="8" t="s">
        <v>187</v>
      </c>
      <c r="Q101" s="8" t="s">
        <v>188</v>
      </c>
      <c r="R101" s="8" t="s">
        <v>339</v>
      </c>
      <c r="S101" s="8"/>
      <c r="T101" s="8"/>
      <c r="U101" s="8" t="s">
        <v>261</v>
      </c>
      <c r="V101" s="8"/>
      <c r="W101" s="8" t="s">
        <v>383</v>
      </c>
      <c r="X101" s="8" t="s">
        <v>98</v>
      </c>
      <c r="Y101" s="8" t="s">
        <v>23</v>
      </c>
    </row>
    <row r="102" spans="1:25" s="7" customFormat="1" hidden="1" x14ac:dyDescent="0.25">
      <c r="A102" s="283" t="s">
        <v>242</v>
      </c>
      <c r="B102" s="260">
        <v>45777</v>
      </c>
      <c r="C102" s="261" t="s">
        <v>384</v>
      </c>
      <c r="D102" s="261"/>
      <c r="E102" s="262">
        <v>38000</v>
      </c>
      <c r="F102" s="262">
        <v>0</v>
      </c>
      <c r="G102" s="285">
        <f>Tabla3[[#This Row],[INGRESOS]]-Tabla3[[#This Row],[EGRESOS]]</f>
        <v>-38000</v>
      </c>
      <c r="H102" s="137"/>
      <c r="I102" s="135">
        <v>1152</v>
      </c>
      <c r="J102" s="136">
        <f>Tabla3[[#This Row],[EGRESOS]]/Tabla3[[#This Row],[TC]]</f>
        <v>32.986111111111114</v>
      </c>
      <c r="K102" s="136">
        <f>Tabla3[[#This Row],[INGRESOS]]/Tabla3[[#This Row],[TC]]</f>
        <v>0</v>
      </c>
      <c r="L102" s="8" t="s">
        <v>303</v>
      </c>
      <c r="M102" s="8" t="s">
        <v>304</v>
      </c>
      <c r="N102" s="8" t="s">
        <v>25</v>
      </c>
      <c r="O102" s="8" t="s">
        <v>184</v>
      </c>
      <c r="P102" s="8" t="s">
        <v>185</v>
      </c>
      <c r="Q102" s="8" t="s">
        <v>186</v>
      </c>
      <c r="R102" s="8"/>
      <c r="S102" s="8"/>
      <c r="T102" s="8"/>
      <c r="U102" s="8" t="s">
        <v>261</v>
      </c>
      <c r="V102" s="8"/>
      <c r="W102" s="8" t="s">
        <v>385</v>
      </c>
      <c r="X102" s="8" t="s">
        <v>98</v>
      </c>
      <c r="Y102" s="8" t="s">
        <v>23</v>
      </c>
    </row>
    <row r="103" spans="1:25" s="7" customFormat="1" hidden="1" x14ac:dyDescent="0.25">
      <c r="A103" s="283" t="s">
        <v>242</v>
      </c>
      <c r="B103" s="260">
        <v>45777</v>
      </c>
      <c r="C103" s="261" t="s">
        <v>334</v>
      </c>
      <c r="D103" s="261"/>
      <c r="E103" s="262">
        <v>1140</v>
      </c>
      <c r="F103" s="262">
        <v>0</v>
      </c>
      <c r="G103" s="285">
        <f>Tabla3[[#This Row],[INGRESOS]]-Tabla3[[#This Row],[EGRESOS]]</f>
        <v>-1140</v>
      </c>
      <c r="H103" s="137">
        <v>-10534096.960000001</v>
      </c>
      <c r="I103" s="135">
        <v>1153</v>
      </c>
      <c r="J103" s="136">
        <f>Tabla3[[#This Row],[EGRESOS]]/Tabla3[[#This Row],[TC]]</f>
        <v>0.98872506504770163</v>
      </c>
      <c r="K103" s="136">
        <f>Tabla3[[#This Row],[INGRESOS]]/Tabla3[[#This Row],[TC]]</f>
        <v>0</v>
      </c>
      <c r="L103" s="8" t="s">
        <v>303</v>
      </c>
      <c r="M103" s="8" t="s">
        <v>304</v>
      </c>
      <c r="N103" s="8" t="s">
        <v>25</v>
      </c>
      <c r="O103" s="8" t="s">
        <v>184</v>
      </c>
      <c r="P103" s="8" t="s">
        <v>187</v>
      </c>
      <c r="Q103" s="8" t="s">
        <v>188</v>
      </c>
      <c r="R103" s="8" t="s">
        <v>334</v>
      </c>
      <c r="S103" s="8"/>
      <c r="T103" s="8"/>
      <c r="U103" s="8" t="s">
        <v>261</v>
      </c>
      <c r="V103" s="8"/>
      <c r="W103" s="8" t="s">
        <v>386</v>
      </c>
      <c r="X103" s="8" t="s">
        <v>98</v>
      </c>
      <c r="Y103" s="8" t="s">
        <v>23</v>
      </c>
    </row>
    <row r="104" spans="1:25" s="7" customFormat="1" hidden="1" x14ac:dyDescent="0.25">
      <c r="A104" s="283" t="s">
        <v>247</v>
      </c>
      <c r="B104" s="260">
        <v>45789</v>
      </c>
      <c r="C104" s="261" t="s">
        <v>359</v>
      </c>
      <c r="D104" s="261"/>
      <c r="E104" s="262">
        <v>0</v>
      </c>
      <c r="F104" s="262">
        <v>550000</v>
      </c>
      <c r="G104" s="285">
        <f>Tabla3[[#This Row],[INGRESOS]]-Tabla3[[#This Row],[EGRESOS]]</f>
        <v>550000</v>
      </c>
      <c r="H104" s="137">
        <v>-9984096.9600000009</v>
      </c>
      <c r="I104" s="135">
        <v>1154</v>
      </c>
      <c r="J104" s="136">
        <f>Tabla3[[#This Row],[EGRESOS]]/Tabla3[[#This Row],[TC]]</f>
        <v>0</v>
      </c>
      <c r="K104" s="136">
        <f>Tabla3[[#This Row],[INGRESOS]]/Tabla3[[#This Row],[TC]]</f>
        <v>476.60311958405543</v>
      </c>
      <c r="L104" s="8" t="s">
        <v>303</v>
      </c>
      <c r="M104" s="8" t="s">
        <v>304</v>
      </c>
      <c r="N104" s="8" t="s">
        <v>25</v>
      </c>
      <c r="O104" s="8" t="s">
        <v>214</v>
      </c>
      <c r="P104" s="8" t="s">
        <v>216</v>
      </c>
      <c r="Q104" s="8" t="s">
        <v>217</v>
      </c>
      <c r="R104" s="8" t="s">
        <v>388</v>
      </c>
      <c r="S104" s="8"/>
      <c r="T104" s="8"/>
      <c r="U104" s="8" t="s">
        <v>262</v>
      </c>
      <c r="V104" s="8"/>
      <c r="W104" s="8"/>
      <c r="X104" s="8"/>
      <c r="Y104" s="8"/>
    </row>
    <row r="105" spans="1:25" s="7" customFormat="1" hidden="1" x14ac:dyDescent="0.25">
      <c r="A105" s="283" t="s">
        <v>247</v>
      </c>
      <c r="B105" s="260">
        <v>45796</v>
      </c>
      <c r="C105" s="261" t="s">
        <v>367</v>
      </c>
      <c r="D105" s="261"/>
      <c r="E105" s="262">
        <v>4369.68</v>
      </c>
      <c r="F105" s="262">
        <v>0</v>
      </c>
      <c r="G105" s="285">
        <f>Tabla3[[#This Row],[INGRESOS]]-Tabla3[[#This Row],[EGRESOS]]</f>
        <v>-4369.68</v>
      </c>
      <c r="H105" s="137"/>
      <c r="I105" s="135">
        <v>1155</v>
      </c>
      <c r="J105" s="136">
        <f>Tabla3[[#This Row],[EGRESOS]]/Tabla3[[#This Row],[TC]]</f>
        <v>3.7832727272727276</v>
      </c>
      <c r="K105" s="136">
        <f>Tabla3[[#This Row],[INGRESOS]]/Tabla3[[#This Row],[TC]]</f>
        <v>0</v>
      </c>
      <c r="L105" s="8" t="s">
        <v>303</v>
      </c>
      <c r="M105" s="8" t="s">
        <v>304</v>
      </c>
      <c r="N105" s="8" t="s">
        <v>25</v>
      </c>
      <c r="O105" s="8" t="s">
        <v>184</v>
      </c>
      <c r="P105" s="8" t="s">
        <v>187</v>
      </c>
      <c r="Q105" s="8" t="s">
        <v>188</v>
      </c>
      <c r="R105" s="8" t="s">
        <v>334</v>
      </c>
      <c r="S105" s="8"/>
      <c r="T105" s="8"/>
      <c r="U105" s="8" t="s">
        <v>261</v>
      </c>
      <c r="V105" s="8"/>
      <c r="W105" s="8" t="s">
        <v>386</v>
      </c>
      <c r="X105" s="8" t="s">
        <v>98</v>
      </c>
      <c r="Y105" s="8" t="s">
        <v>23</v>
      </c>
    </row>
    <row r="106" spans="1:25" s="7" customFormat="1" hidden="1" x14ac:dyDescent="0.25">
      <c r="A106" s="283" t="s">
        <v>247</v>
      </c>
      <c r="B106" s="260">
        <v>45796</v>
      </c>
      <c r="C106" s="261" t="s">
        <v>369</v>
      </c>
      <c r="D106" s="261"/>
      <c r="E106" s="262">
        <v>291312.3</v>
      </c>
      <c r="F106" s="262">
        <v>0</v>
      </c>
      <c r="G106" s="285">
        <f>Tabla3[[#This Row],[INGRESOS]]-Tabla3[[#This Row],[EGRESOS]]</f>
        <v>-291312.3</v>
      </c>
      <c r="H106" s="137"/>
      <c r="I106" s="135">
        <v>1156</v>
      </c>
      <c r="J106" s="136">
        <f>Tabla3[[#This Row],[EGRESOS]]/Tabla3[[#This Row],[TC]]</f>
        <v>252.00025951557092</v>
      </c>
      <c r="K106" s="136">
        <f>Tabla3[[#This Row],[INGRESOS]]/Tabla3[[#This Row],[TC]]</f>
        <v>0</v>
      </c>
      <c r="L106" s="8" t="s">
        <v>303</v>
      </c>
      <c r="M106" s="8" t="s">
        <v>304</v>
      </c>
      <c r="N106" s="8" t="s">
        <v>25</v>
      </c>
      <c r="O106" s="8" t="s">
        <v>184</v>
      </c>
      <c r="P106" s="8" t="s">
        <v>189</v>
      </c>
      <c r="Q106" s="8" t="s">
        <v>190</v>
      </c>
      <c r="R106" s="8"/>
      <c r="S106" s="8"/>
      <c r="T106" s="8"/>
      <c r="U106" s="8" t="s">
        <v>261</v>
      </c>
      <c r="V106" s="8"/>
      <c r="W106" s="8" t="s">
        <v>386</v>
      </c>
      <c r="X106" s="8" t="s">
        <v>98</v>
      </c>
      <c r="Y106" s="8" t="s">
        <v>23</v>
      </c>
    </row>
    <row r="107" spans="1:25" s="7" customFormat="1" hidden="1" x14ac:dyDescent="0.25">
      <c r="A107" s="283" t="s">
        <v>247</v>
      </c>
      <c r="B107" s="260">
        <v>45796</v>
      </c>
      <c r="C107" s="261" t="s">
        <v>362</v>
      </c>
      <c r="D107" s="261"/>
      <c r="E107" s="262">
        <v>1995.07</v>
      </c>
      <c r="F107" s="262">
        <v>0</v>
      </c>
      <c r="G107" s="285">
        <f>Tabla3[[#This Row],[INGRESOS]]-Tabla3[[#This Row],[EGRESOS]]</f>
        <v>-1995.07</v>
      </c>
      <c r="H107" s="342"/>
      <c r="I107" s="135">
        <v>1157</v>
      </c>
      <c r="J107" s="136">
        <f>Tabla3[[#This Row],[EGRESOS]]/Tabla3[[#This Row],[TC]]</f>
        <v>1.7243474503025065</v>
      </c>
      <c r="K107" s="136">
        <f>Tabla3[[#This Row],[INGRESOS]]/Tabla3[[#This Row],[TC]]</f>
        <v>0</v>
      </c>
      <c r="L107" s="8" t="s">
        <v>303</v>
      </c>
      <c r="M107" s="8" t="s">
        <v>304</v>
      </c>
      <c r="N107" s="8" t="s">
        <v>25</v>
      </c>
      <c r="O107" s="8" t="s">
        <v>184</v>
      </c>
      <c r="P107" s="8" t="s">
        <v>187</v>
      </c>
      <c r="Q107" s="8" t="s">
        <v>188</v>
      </c>
      <c r="R107" s="8" t="s">
        <v>308</v>
      </c>
      <c r="S107" s="8"/>
      <c r="T107" s="8"/>
      <c r="U107" s="8" t="s">
        <v>261</v>
      </c>
      <c r="V107" s="8"/>
      <c r="W107" s="8" t="s">
        <v>386</v>
      </c>
      <c r="X107" s="8" t="s">
        <v>98</v>
      </c>
      <c r="Y107" s="8" t="s">
        <v>23</v>
      </c>
    </row>
    <row r="108" spans="1:25" s="7" customFormat="1" hidden="1" x14ac:dyDescent="0.25">
      <c r="A108" s="283" t="s">
        <v>247</v>
      </c>
      <c r="B108" s="260">
        <v>45796</v>
      </c>
      <c r="C108" s="261" t="s">
        <v>372</v>
      </c>
      <c r="D108" s="261"/>
      <c r="E108" s="262">
        <v>30587.79</v>
      </c>
      <c r="F108" s="262">
        <v>0</v>
      </c>
      <c r="G108" s="285">
        <f>Tabla3[[#This Row],[INGRESOS]]-Tabla3[[#This Row],[EGRESOS]]</f>
        <v>-30587.79</v>
      </c>
      <c r="H108" s="342"/>
      <c r="I108" s="135">
        <v>1158</v>
      </c>
      <c r="J108" s="136">
        <f>Tabla3[[#This Row],[EGRESOS]]/Tabla3[[#This Row],[TC]]</f>
        <v>26.414326424870467</v>
      </c>
      <c r="K108" s="136">
        <f>Tabla3[[#This Row],[INGRESOS]]/Tabla3[[#This Row],[TC]]</f>
        <v>0</v>
      </c>
      <c r="L108" s="8" t="s">
        <v>303</v>
      </c>
      <c r="M108" s="8" t="s">
        <v>304</v>
      </c>
      <c r="N108" s="8" t="s">
        <v>25</v>
      </c>
      <c r="O108" s="8" t="s">
        <v>184</v>
      </c>
      <c r="P108" s="8" t="s">
        <v>187</v>
      </c>
      <c r="Q108" s="8" t="s">
        <v>188</v>
      </c>
      <c r="R108" s="8" t="s">
        <v>308</v>
      </c>
      <c r="S108" s="8"/>
      <c r="T108" s="8"/>
      <c r="U108" s="8" t="s">
        <v>261</v>
      </c>
      <c r="V108" s="8"/>
      <c r="W108" s="8" t="s">
        <v>386</v>
      </c>
      <c r="X108" s="8" t="s">
        <v>98</v>
      </c>
      <c r="Y108" s="8" t="s">
        <v>23</v>
      </c>
    </row>
    <row r="109" spans="1:25" s="7" customFormat="1" hidden="1" x14ac:dyDescent="0.25">
      <c r="A109" s="283" t="s">
        <v>247</v>
      </c>
      <c r="B109" s="260">
        <v>45796</v>
      </c>
      <c r="C109" s="261" t="s">
        <v>381</v>
      </c>
      <c r="D109" s="261"/>
      <c r="E109" s="262">
        <v>6242.39</v>
      </c>
      <c r="F109" s="262">
        <v>0</v>
      </c>
      <c r="G109" s="285">
        <f>Tabla3[[#This Row],[INGRESOS]]-Tabla3[[#This Row],[EGRESOS]]</f>
        <v>-6242.39</v>
      </c>
      <c r="H109" s="342"/>
      <c r="I109" s="135">
        <v>1159</v>
      </c>
      <c r="J109" s="136">
        <f>Tabla3[[#This Row],[EGRESOS]]/Tabla3[[#This Row],[TC]]</f>
        <v>5.386013805004314</v>
      </c>
      <c r="K109" s="136">
        <f>Tabla3[[#This Row],[INGRESOS]]/Tabla3[[#This Row],[TC]]</f>
        <v>0</v>
      </c>
      <c r="L109" s="8" t="s">
        <v>303</v>
      </c>
      <c r="M109" s="8" t="s">
        <v>304</v>
      </c>
      <c r="N109" s="8" t="s">
        <v>25</v>
      </c>
      <c r="O109" s="8" t="s">
        <v>184</v>
      </c>
      <c r="P109" s="8" t="s">
        <v>187</v>
      </c>
      <c r="Q109" s="8" t="s">
        <v>188</v>
      </c>
      <c r="R109" s="8" t="s">
        <v>339</v>
      </c>
      <c r="S109" s="8"/>
      <c r="T109" s="8"/>
      <c r="U109" s="8" t="s">
        <v>261</v>
      </c>
      <c r="V109" s="8"/>
      <c r="W109" s="8" t="s">
        <v>386</v>
      </c>
      <c r="X109" s="8" t="s">
        <v>98</v>
      </c>
      <c r="Y109" s="8" t="s">
        <v>23</v>
      </c>
    </row>
    <row r="110" spans="1:25" s="7" customFormat="1" hidden="1" x14ac:dyDescent="0.25">
      <c r="A110" s="283" t="s">
        <v>247</v>
      </c>
      <c r="B110" s="260">
        <v>45797</v>
      </c>
      <c r="C110" s="261" t="s">
        <v>367</v>
      </c>
      <c r="D110" s="261"/>
      <c r="E110" s="262">
        <v>375</v>
      </c>
      <c r="F110" s="262">
        <v>0</v>
      </c>
      <c r="G110" s="285">
        <f>Tabla3[[#This Row],[INGRESOS]]-Tabla3[[#This Row],[EGRESOS]]</f>
        <v>-375</v>
      </c>
      <c r="H110" s="342"/>
      <c r="I110" s="135">
        <v>1160</v>
      </c>
      <c r="J110" s="136">
        <f>Tabla3[[#This Row],[EGRESOS]]/Tabla3[[#This Row],[TC]]</f>
        <v>0.32327586206896552</v>
      </c>
      <c r="K110" s="136">
        <f>Tabla3[[#This Row],[INGRESOS]]/Tabla3[[#This Row],[TC]]</f>
        <v>0</v>
      </c>
      <c r="L110" s="8" t="s">
        <v>303</v>
      </c>
      <c r="M110" s="8" t="s">
        <v>304</v>
      </c>
      <c r="N110" s="8" t="s">
        <v>25</v>
      </c>
      <c r="O110" s="8" t="s">
        <v>184</v>
      </c>
      <c r="P110" s="8" t="s">
        <v>187</v>
      </c>
      <c r="Q110" s="8" t="s">
        <v>188</v>
      </c>
      <c r="R110" s="8" t="s">
        <v>334</v>
      </c>
      <c r="S110" s="8"/>
      <c r="T110" s="8"/>
      <c r="U110" s="8" t="s">
        <v>261</v>
      </c>
      <c r="V110" s="8"/>
      <c r="W110" s="8" t="s">
        <v>386</v>
      </c>
      <c r="X110" s="8" t="s">
        <v>98</v>
      </c>
      <c r="Y110" s="8" t="s">
        <v>23</v>
      </c>
    </row>
    <row r="111" spans="1:25" s="7" customFormat="1" hidden="1" x14ac:dyDescent="0.25">
      <c r="A111" s="283" t="s">
        <v>247</v>
      </c>
      <c r="B111" s="260">
        <v>45797</v>
      </c>
      <c r="C111" s="261" t="s">
        <v>362</v>
      </c>
      <c r="D111" s="261"/>
      <c r="E111" s="262">
        <v>168</v>
      </c>
      <c r="F111" s="262">
        <v>0</v>
      </c>
      <c r="G111" s="285">
        <f>Tabla3[[#This Row],[INGRESOS]]-Tabla3[[#This Row],[EGRESOS]]</f>
        <v>-168</v>
      </c>
      <c r="H111" s="342"/>
      <c r="I111" s="135">
        <v>1161</v>
      </c>
      <c r="J111" s="136">
        <f>Tabla3[[#This Row],[EGRESOS]]/Tabla3[[#This Row],[TC]]</f>
        <v>0.14470284237726097</v>
      </c>
      <c r="K111" s="136">
        <f>Tabla3[[#This Row],[INGRESOS]]/Tabla3[[#This Row],[TC]]</f>
        <v>0</v>
      </c>
      <c r="L111" s="8" t="s">
        <v>303</v>
      </c>
      <c r="M111" s="8" t="s">
        <v>304</v>
      </c>
      <c r="N111" s="8" t="s">
        <v>25</v>
      </c>
      <c r="O111" s="8" t="s">
        <v>184</v>
      </c>
      <c r="P111" s="8" t="s">
        <v>187</v>
      </c>
      <c r="Q111" s="8" t="s">
        <v>188</v>
      </c>
      <c r="R111" s="8" t="s">
        <v>308</v>
      </c>
      <c r="S111" s="8"/>
      <c r="T111" s="8"/>
      <c r="U111" s="8" t="s">
        <v>261</v>
      </c>
      <c r="V111" s="8"/>
      <c r="W111" s="8" t="s">
        <v>386</v>
      </c>
      <c r="X111" s="8" t="s">
        <v>98</v>
      </c>
      <c r="Y111" s="8" t="s">
        <v>23</v>
      </c>
    </row>
    <row r="112" spans="1:25" s="7" customFormat="1" hidden="1" x14ac:dyDescent="0.25">
      <c r="A112" s="283" t="s">
        <v>247</v>
      </c>
      <c r="B112" s="260">
        <v>45797</v>
      </c>
      <c r="C112" s="261" t="s">
        <v>372</v>
      </c>
      <c r="D112" s="261"/>
      <c r="E112" s="262">
        <v>2625</v>
      </c>
      <c r="F112" s="262">
        <v>0</v>
      </c>
      <c r="G112" s="285">
        <f>Tabla3[[#This Row],[INGRESOS]]-Tabla3[[#This Row],[EGRESOS]]</f>
        <v>-2625</v>
      </c>
      <c r="H112" s="342"/>
      <c r="I112" s="135">
        <v>1162</v>
      </c>
      <c r="J112" s="136">
        <f>Tabla3[[#This Row],[EGRESOS]]/Tabla3[[#This Row],[TC]]</f>
        <v>2.2590361445783134</v>
      </c>
      <c r="K112" s="136">
        <f>Tabla3[[#This Row],[INGRESOS]]/Tabla3[[#This Row],[TC]]</f>
        <v>0</v>
      </c>
      <c r="L112" s="8" t="s">
        <v>303</v>
      </c>
      <c r="M112" s="8" t="s">
        <v>304</v>
      </c>
      <c r="N112" s="8" t="s">
        <v>25</v>
      </c>
      <c r="O112" s="8" t="s">
        <v>184</v>
      </c>
      <c r="P112" s="8" t="s">
        <v>187</v>
      </c>
      <c r="Q112" s="8" t="s">
        <v>188</v>
      </c>
      <c r="R112" s="8" t="s">
        <v>308</v>
      </c>
      <c r="S112" s="8"/>
      <c r="T112" s="8"/>
      <c r="U112" s="8" t="s">
        <v>261</v>
      </c>
      <c r="V112" s="8"/>
      <c r="W112" s="8" t="s">
        <v>386</v>
      </c>
      <c r="X112" s="8" t="s">
        <v>98</v>
      </c>
      <c r="Y112" s="8" t="s">
        <v>23</v>
      </c>
    </row>
    <row r="113" spans="1:25" s="7" customFormat="1" hidden="1" x14ac:dyDescent="0.25">
      <c r="A113" s="283" t="s">
        <v>247</v>
      </c>
      <c r="B113" s="260">
        <v>45797</v>
      </c>
      <c r="C113" s="261" t="s">
        <v>387</v>
      </c>
      <c r="D113" s="261"/>
      <c r="E113" s="262">
        <v>25000</v>
      </c>
      <c r="F113" s="262">
        <v>0</v>
      </c>
      <c r="G113" s="285">
        <f>Tabla3[[#This Row],[INGRESOS]]-Tabla3[[#This Row],[EGRESOS]]</f>
        <v>-25000</v>
      </c>
      <c r="H113" s="342"/>
      <c r="I113" s="135">
        <v>1163</v>
      </c>
      <c r="J113" s="136">
        <f>Tabla3[[#This Row],[EGRESOS]]/Tabla3[[#This Row],[TC]]</f>
        <v>21.496130696474633</v>
      </c>
      <c r="K113" s="136">
        <f>Tabla3[[#This Row],[INGRESOS]]/Tabla3[[#This Row],[TC]]</f>
        <v>0</v>
      </c>
      <c r="L113" s="8" t="s">
        <v>303</v>
      </c>
      <c r="M113" s="8" t="s">
        <v>304</v>
      </c>
      <c r="N113" s="8" t="s">
        <v>25</v>
      </c>
      <c r="O113" s="8" t="s">
        <v>184</v>
      </c>
      <c r="P113" s="8" t="s">
        <v>185</v>
      </c>
      <c r="Q113" s="8" t="s">
        <v>186</v>
      </c>
      <c r="R113" s="8"/>
      <c r="S113" s="8"/>
      <c r="T113" s="8"/>
      <c r="U113" s="8" t="s">
        <v>261</v>
      </c>
      <c r="V113" s="8"/>
      <c r="W113" s="8" t="s">
        <v>386</v>
      </c>
      <c r="X113" s="8" t="s">
        <v>98</v>
      </c>
      <c r="Y113" s="8" t="s">
        <v>23</v>
      </c>
    </row>
    <row r="114" spans="1:25" s="7" customFormat="1" hidden="1" x14ac:dyDescent="0.25">
      <c r="A114" s="283" t="s">
        <v>247</v>
      </c>
      <c r="B114" s="260">
        <v>45798</v>
      </c>
      <c r="C114" s="261" t="s">
        <v>359</v>
      </c>
      <c r="D114" s="261"/>
      <c r="E114" s="262">
        <v>0</v>
      </c>
      <c r="F114" s="262">
        <v>350000</v>
      </c>
      <c r="G114" s="285">
        <f>Tabla3[[#This Row],[INGRESOS]]-Tabla3[[#This Row],[EGRESOS]]</f>
        <v>350000</v>
      </c>
      <c r="H114" s="137">
        <v>-9996772.1899999995</v>
      </c>
      <c r="I114" s="135">
        <v>1164</v>
      </c>
      <c r="J114" s="136">
        <f>Tabla3[[#This Row],[EGRESOS]]/Tabla3[[#This Row],[TC]]</f>
        <v>0</v>
      </c>
      <c r="K114" s="136">
        <f>Tabla3[[#This Row],[INGRESOS]]/Tabla3[[#This Row],[TC]]</f>
        <v>300.68728522336772</v>
      </c>
      <c r="L114" s="8" t="s">
        <v>303</v>
      </c>
      <c r="M114" s="8" t="s">
        <v>304</v>
      </c>
      <c r="N114" s="8" t="s">
        <v>25</v>
      </c>
      <c r="O114" s="8" t="s">
        <v>214</v>
      </c>
      <c r="P114" s="8" t="s">
        <v>216</v>
      </c>
      <c r="Q114" s="8" t="s">
        <v>217</v>
      </c>
      <c r="R114" s="8" t="s">
        <v>388</v>
      </c>
      <c r="S114" s="8"/>
      <c r="T114" s="8"/>
      <c r="U114" s="8" t="s">
        <v>262</v>
      </c>
      <c r="V114" s="8"/>
      <c r="W114" s="8"/>
      <c r="X114" s="8"/>
      <c r="Y114" s="8"/>
    </row>
    <row r="115" spans="1:25" s="7" customFormat="1" hidden="1" x14ac:dyDescent="0.25">
      <c r="A115" s="283" t="s">
        <v>247</v>
      </c>
      <c r="B115" s="260">
        <v>45800</v>
      </c>
      <c r="C115" s="261" t="s">
        <v>362</v>
      </c>
      <c r="D115" s="261"/>
      <c r="E115" s="262">
        <v>22062.85</v>
      </c>
      <c r="F115" s="262">
        <v>0</v>
      </c>
      <c r="G115" s="285">
        <f>Tabla3[[#This Row],[INGRESOS]]-Tabla3[[#This Row],[EGRESOS]]</f>
        <v>-22062.85</v>
      </c>
      <c r="H115" s="133"/>
      <c r="I115" s="135">
        <v>1165</v>
      </c>
      <c r="J115" s="136">
        <f>Tabla3[[#This Row],[EGRESOS]]/Tabla3[[#This Row],[TC]]</f>
        <v>18.938068669527897</v>
      </c>
      <c r="K115" s="136">
        <f>Tabla3[[#This Row],[INGRESOS]]/Tabla3[[#This Row],[TC]]</f>
        <v>0</v>
      </c>
      <c r="L115" s="8" t="s">
        <v>303</v>
      </c>
      <c r="M115" s="8" t="s">
        <v>304</v>
      </c>
      <c r="N115" s="8" t="s">
        <v>25</v>
      </c>
      <c r="O115" s="8" t="s">
        <v>184</v>
      </c>
      <c r="P115" s="8" t="s">
        <v>187</v>
      </c>
      <c r="Q115" s="8" t="s">
        <v>188</v>
      </c>
      <c r="R115" s="8" t="s">
        <v>317</v>
      </c>
      <c r="S115" s="8"/>
      <c r="T115" s="8"/>
      <c r="U115" s="8" t="s">
        <v>261</v>
      </c>
      <c r="V115" s="8"/>
      <c r="W115" s="8" t="s">
        <v>386</v>
      </c>
      <c r="X115" s="8" t="s">
        <v>98</v>
      </c>
      <c r="Y115" s="8" t="s">
        <v>23</v>
      </c>
    </row>
    <row r="116" spans="1:25" s="7" customFormat="1" hidden="1" x14ac:dyDescent="0.25">
      <c r="A116" s="283" t="s">
        <v>247</v>
      </c>
      <c r="B116" s="260">
        <v>45800</v>
      </c>
      <c r="C116" s="261" t="s">
        <v>359</v>
      </c>
      <c r="D116" s="261"/>
      <c r="E116" s="262">
        <v>0</v>
      </c>
      <c r="F116" s="262">
        <v>4000000</v>
      </c>
      <c r="G116" s="285">
        <f>Tabla3[[#This Row],[INGRESOS]]-Tabla3[[#This Row],[EGRESOS]]</f>
        <v>4000000</v>
      </c>
      <c r="H116" s="133"/>
      <c r="I116" s="135">
        <v>1166</v>
      </c>
      <c r="J116" s="136">
        <f>Tabla3[[#This Row],[EGRESOS]]/Tabla3[[#This Row],[TC]]</f>
        <v>0</v>
      </c>
      <c r="K116" s="136">
        <f>Tabla3[[#This Row],[INGRESOS]]/Tabla3[[#This Row],[TC]]</f>
        <v>3430.5317324185248</v>
      </c>
      <c r="L116" s="8" t="s">
        <v>303</v>
      </c>
      <c r="M116" s="8" t="s">
        <v>304</v>
      </c>
      <c r="N116" s="8" t="s">
        <v>25</v>
      </c>
      <c r="O116" s="8" t="s">
        <v>214</v>
      </c>
      <c r="P116" s="8" t="s">
        <v>216</v>
      </c>
      <c r="Q116" s="8" t="s">
        <v>217</v>
      </c>
      <c r="R116" s="8" t="s">
        <v>388</v>
      </c>
      <c r="S116" s="8"/>
      <c r="T116" s="8"/>
      <c r="U116" s="8" t="s">
        <v>262</v>
      </c>
      <c r="V116" s="8"/>
      <c r="W116" s="8"/>
      <c r="X116" s="8"/>
      <c r="Y116" s="8"/>
    </row>
    <row r="117" spans="1:25" s="7" customFormat="1" hidden="1" x14ac:dyDescent="0.25">
      <c r="A117" s="283" t="s">
        <v>247</v>
      </c>
      <c r="B117" s="260">
        <v>45800</v>
      </c>
      <c r="C117" s="261" t="s">
        <v>366</v>
      </c>
      <c r="D117" s="261"/>
      <c r="E117" s="262">
        <v>3677142.48</v>
      </c>
      <c r="F117" s="262">
        <v>0</v>
      </c>
      <c r="G117" s="285">
        <f>Tabla3[[#This Row],[INGRESOS]]-Tabla3[[#This Row],[EGRESOS]]</f>
        <v>-3677142.48</v>
      </c>
      <c r="H117" s="133">
        <v>-9695977.5199999996</v>
      </c>
      <c r="I117" s="135">
        <v>1167</v>
      </c>
      <c r="J117" s="136">
        <f>Tabla3[[#This Row],[EGRESOS]]/Tabla3[[#This Row],[TC]]</f>
        <v>3150.9361439588688</v>
      </c>
      <c r="K117" s="136">
        <f>Tabla3[[#This Row],[INGRESOS]]/Tabla3[[#This Row],[TC]]</f>
        <v>0</v>
      </c>
      <c r="L117" s="8" t="s">
        <v>303</v>
      </c>
      <c r="M117" s="8" t="s">
        <v>304</v>
      </c>
      <c r="N117" s="8" t="s">
        <v>25</v>
      </c>
      <c r="O117" s="8" t="s">
        <v>214</v>
      </c>
      <c r="P117" s="8" t="s">
        <v>38</v>
      </c>
      <c r="Q117" s="8" t="s">
        <v>930</v>
      </c>
      <c r="R117" s="8" t="s">
        <v>802</v>
      </c>
      <c r="S117" s="8"/>
      <c r="T117" s="8"/>
      <c r="U117" s="8" t="s">
        <v>275</v>
      </c>
      <c r="V117" s="8"/>
      <c r="W117" s="8" t="s">
        <v>306</v>
      </c>
      <c r="X117" s="8" t="s">
        <v>91</v>
      </c>
      <c r="Y117" s="8" t="s">
        <v>23</v>
      </c>
    </row>
    <row r="118" spans="1:25" s="7" customFormat="1" hidden="1" x14ac:dyDescent="0.25">
      <c r="A118" s="283" t="s">
        <v>247</v>
      </c>
      <c r="B118" s="260">
        <v>45808</v>
      </c>
      <c r="C118" s="261" t="s">
        <v>367</v>
      </c>
      <c r="D118" s="261"/>
      <c r="E118" s="262">
        <v>2698.53</v>
      </c>
      <c r="F118" s="262">
        <v>0</v>
      </c>
      <c r="G118" s="285">
        <f>Tabla3[[#This Row],[INGRESOS]]-Tabla3[[#This Row],[EGRESOS]]</f>
        <v>-2698.53</v>
      </c>
      <c r="H118" s="133"/>
      <c r="I118" s="135">
        <v>1168</v>
      </c>
      <c r="J118" s="136">
        <f>Tabla3[[#This Row],[EGRESOS]]/Tabla3[[#This Row],[TC]]</f>
        <v>2.310385273972603</v>
      </c>
      <c r="K118" s="136">
        <f>Tabla3[[#This Row],[INGRESOS]]/Tabla3[[#This Row],[TC]]</f>
        <v>0</v>
      </c>
      <c r="L118" s="8" t="s">
        <v>303</v>
      </c>
      <c r="M118" s="8" t="s">
        <v>304</v>
      </c>
      <c r="N118" s="8" t="s">
        <v>25</v>
      </c>
      <c r="O118" s="8" t="s">
        <v>184</v>
      </c>
      <c r="P118" s="8" t="s">
        <v>187</v>
      </c>
      <c r="Q118" s="8" t="s">
        <v>188</v>
      </c>
      <c r="R118" s="8"/>
      <c r="S118" s="8"/>
      <c r="T118" s="8"/>
      <c r="U118" s="8" t="s">
        <v>261</v>
      </c>
      <c r="V118" s="8"/>
      <c r="W118" s="8" t="s">
        <v>392</v>
      </c>
      <c r="X118" s="8" t="s">
        <v>98</v>
      </c>
      <c r="Y118" s="8" t="s">
        <v>23</v>
      </c>
    </row>
    <row r="119" spans="1:25" s="7" customFormat="1" hidden="1" x14ac:dyDescent="0.25">
      <c r="A119" s="283" t="s">
        <v>247</v>
      </c>
      <c r="B119" s="260">
        <v>45808</v>
      </c>
      <c r="C119" s="261" t="s">
        <v>367</v>
      </c>
      <c r="D119" s="261"/>
      <c r="E119" s="262">
        <v>150.88999999999999</v>
      </c>
      <c r="F119" s="262">
        <v>0</v>
      </c>
      <c r="G119" s="285">
        <f>Tabla3[[#This Row],[INGRESOS]]-Tabla3[[#This Row],[EGRESOS]]</f>
        <v>-150.88999999999999</v>
      </c>
      <c r="H119" s="133"/>
      <c r="I119" s="135">
        <v>1169</v>
      </c>
      <c r="J119" s="136">
        <f>Tabla3[[#This Row],[EGRESOS]]/Tabla3[[#This Row],[TC]]</f>
        <v>0.12907613344739091</v>
      </c>
      <c r="K119" s="136">
        <f>Tabla3[[#This Row],[INGRESOS]]/Tabla3[[#This Row],[TC]]</f>
        <v>0</v>
      </c>
      <c r="L119" s="8" t="s">
        <v>303</v>
      </c>
      <c r="M119" s="8" t="s">
        <v>304</v>
      </c>
      <c r="N119" s="8" t="s">
        <v>25</v>
      </c>
      <c r="O119" s="8" t="s">
        <v>184</v>
      </c>
      <c r="P119" s="8" t="s">
        <v>187</v>
      </c>
      <c r="Q119" s="8" t="s">
        <v>188</v>
      </c>
      <c r="R119" s="8"/>
      <c r="S119" s="8"/>
      <c r="T119" s="8"/>
      <c r="U119" s="8" t="s">
        <v>261</v>
      </c>
      <c r="V119" s="8"/>
      <c r="W119" s="8" t="s">
        <v>392</v>
      </c>
      <c r="X119" s="8" t="s">
        <v>98</v>
      </c>
      <c r="Y119" s="8" t="s">
        <v>23</v>
      </c>
    </row>
    <row r="120" spans="1:25" s="7" customFormat="1" hidden="1" x14ac:dyDescent="0.25">
      <c r="A120" s="283" t="s">
        <v>247</v>
      </c>
      <c r="B120" s="260">
        <v>45808</v>
      </c>
      <c r="C120" s="261" t="s">
        <v>367</v>
      </c>
      <c r="D120" s="261"/>
      <c r="E120" s="262">
        <v>75.44</v>
      </c>
      <c r="F120" s="262">
        <v>0</v>
      </c>
      <c r="G120" s="285">
        <f>Tabla3[[#This Row],[INGRESOS]]-Tabla3[[#This Row],[EGRESOS]]</f>
        <v>-75.44</v>
      </c>
      <c r="H120" s="133"/>
      <c r="I120" s="135">
        <v>1170</v>
      </c>
      <c r="J120" s="136">
        <f>Tabla3[[#This Row],[EGRESOS]]/Tabla3[[#This Row],[TC]]</f>
        <v>6.4478632478632475E-2</v>
      </c>
      <c r="K120" s="136">
        <f>Tabla3[[#This Row],[INGRESOS]]/Tabla3[[#This Row],[TC]]</f>
        <v>0</v>
      </c>
      <c r="L120" s="8" t="s">
        <v>303</v>
      </c>
      <c r="M120" s="8" t="s">
        <v>304</v>
      </c>
      <c r="N120" s="8" t="s">
        <v>25</v>
      </c>
      <c r="O120" s="8" t="s">
        <v>184</v>
      </c>
      <c r="P120" s="8" t="s">
        <v>187</v>
      </c>
      <c r="Q120" s="8" t="s">
        <v>188</v>
      </c>
      <c r="R120" s="8"/>
      <c r="S120" s="8"/>
      <c r="T120" s="8"/>
      <c r="U120" s="8" t="s">
        <v>261</v>
      </c>
      <c r="V120" s="8"/>
      <c r="W120" s="8" t="s">
        <v>392</v>
      </c>
      <c r="X120" s="8" t="s">
        <v>98</v>
      </c>
      <c r="Y120" s="8" t="s">
        <v>23</v>
      </c>
    </row>
    <row r="121" spans="1:25" s="7" customFormat="1" hidden="1" x14ac:dyDescent="0.25">
      <c r="A121" s="283" t="s">
        <v>247</v>
      </c>
      <c r="B121" s="260">
        <v>45808</v>
      </c>
      <c r="C121" s="261" t="s">
        <v>369</v>
      </c>
      <c r="D121" s="261"/>
      <c r="E121" s="262">
        <v>179902.05</v>
      </c>
      <c r="F121" s="262">
        <v>0</v>
      </c>
      <c r="G121" s="285">
        <f>Tabla3[[#This Row],[INGRESOS]]-Tabla3[[#This Row],[EGRESOS]]</f>
        <v>-179902.05</v>
      </c>
      <c r="H121" s="133"/>
      <c r="I121" s="135">
        <v>1171</v>
      </c>
      <c r="J121" s="136">
        <f>Tabla3[[#This Row],[EGRESOS]]/Tabla3[[#This Row],[TC]]</f>
        <v>153.63112724167377</v>
      </c>
      <c r="K121" s="136">
        <f>Tabla3[[#This Row],[INGRESOS]]/Tabla3[[#This Row],[TC]]</f>
        <v>0</v>
      </c>
      <c r="L121" s="8" t="s">
        <v>303</v>
      </c>
      <c r="M121" s="8" t="s">
        <v>304</v>
      </c>
      <c r="N121" s="8" t="s">
        <v>25</v>
      </c>
      <c r="O121" s="8" t="s">
        <v>184</v>
      </c>
      <c r="P121" s="8" t="s">
        <v>189</v>
      </c>
      <c r="Q121" s="8" t="s">
        <v>190</v>
      </c>
      <c r="R121" s="8"/>
      <c r="S121" s="8"/>
      <c r="T121" s="8"/>
      <c r="U121" s="8" t="s">
        <v>261</v>
      </c>
      <c r="V121" s="8"/>
      <c r="W121" s="8" t="s">
        <v>392</v>
      </c>
      <c r="X121" s="8" t="s">
        <v>98</v>
      </c>
      <c r="Y121" s="8" t="s">
        <v>23</v>
      </c>
    </row>
    <row r="122" spans="1:25" s="7" customFormat="1" hidden="1" x14ac:dyDescent="0.25">
      <c r="A122" s="283" t="s">
        <v>247</v>
      </c>
      <c r="B122" s="260">
        <v>45808</v>
      </c>
      <c r="C122" s="261" t="s">
        <v>362</v>
      </c>
      <c r="D122" s="261"/>
      <c r="E122" s="262">
        <v>1617.48</v>
      </c>
      <c r="F122" s="262">
        <v>0</v>
      </c>
      <c r="G122" s="285">
        <f>Tabla3[[#This Row],[INGRESOS]]-Tabla3[[#This Row],[EGRESOS]]</f>
        <v>-1617.48</v>
      </c>
      <c r="H122" s="133"/>
      <c r="I122" s="135">
        <v>1172</v>
      </c>
      <c r="J122" s="136">
        <f>Tabla3[[#This Row],[EGRESOS]]/Tabla3[[#This Row],[TC]]</f>
        <v>1.3801023890784982</v>
      </c>
      <c r="K122" s="136">
        <f>Tabla3[[#This Row],[INGRESOS]]/Tabla3[[#This Row],[TC]]</f>
        <v>0</v>
      </c>
      <c r="L122" s="8" t="s">
        <v>303</v>
      </c>
      <c r="M122" s="8" t="s">
        <v>304</v>
      </c>
      <c r="N122" s="8" t="s">
        <v>25</v>
      </c>
      <c r="O122" s="8" t="s">
        <v>184</v>
      </c>
      <c r="P122" s="8" t="s">
        <v>187</v>
      </c>
      <c r="Q122" s="8" t="s">
        <v>188</v>
      </c>
      <c r="R122" s="8"/>
      <c r="S122" s="8"/>
      <c r="T122" s="8"/>
      <c r="U122" s="8" t="s">
        <v>261</v>
      </c>
      <c r="V122" s="8"/>
      <c r="W122" s="8" t="s">
        <v>392</v>
      </c>
      <c r="X122" s="8" t="s">
        <v>98</v>
      </c>
      <c r="Y122" s="8" t="s">
        <v>23</v>
      </c>
    </row>
    <row r="123" spans="1:25" s="7" customFormat="1" hidden="1" x14ac:dyDescent="0.25">
      <c r="A123" s="283" t="s">
        <v>247</v>
      </c>
      <c r="B123" s="260">
        <v>45808</v>
      </c>
      <c r="C123" s="261" t="s">
        <v>372</v>
      </c>
      <c r="D123" s="261"/>
      <c r="E123" s="262">
        <v>18889.72</v>
      </c>
      <c r="F123" s="262">
        <v>0</v>
      </c>
      <c r="G123" s="285">
        <f>Tabla3[[#This Row],[INGRESOS]]-Tabla3[[#This Row],[EGRESOS]]</f>
        <v>-18889.72</v>
      </c>
      <c r="H123" s="133"/>
      <c r="I123" s="135">
        <v>1173</v>
      </c>
      <c r="J123" s="136">
        <f>Tabla3[[#This Row],[EGRESOS]]/Tabla3[[#This Row],[TC]]</f>
        <v>16.103768115942032</v>
      </c>
      <c r="K123" s="136">
        <f>Tabla3[[#This Row],[INGRESOS]]/Tabla3[[#This Row],[TC]]</f>
        <v>0</v>
      </c>
      <c r="L123" s="8" t="s">
        <v>303</v>
      </c>
      <c r="M123" s="8" t="s">
        <v>304</v>
      </c>
      <c r="N123" s="8" t="s">
        <v>25</v>
      </c>
      <c r="O123" s="8" t="s">
        <v>184</v>
      </c>
      <c r="P123" s="8" t="s">
        <v>187</v>
      </c>
      <c r="Q123" s="8" t="s">
        <v>188</v>
      </c>
      <c r="R123" s="8"/>
      <c r="S123" s="8"/>
      <c r="T123" s="8"/>
      <c r="U123" s="8" t="s">
        <v>261</v>
      </c>
      <c r="V123" s="8"/>
      <c r="W123" s="8" t="s">
        <v>392</v>
      </c>
      <c r="X123" s="8" t="s">
        <v>98</v>
      </c>
      <c r="Y123" s="8" t="s">
        <v>23</v>
      </c>
    </row>
    <row r="124" spans="1:25" s="7" customFormat="1" hidden="1" x14ac:dyDescent="0.25">
      <c r="A124" s="283" t="s">
        <v>247</v>
      </c>
      <c r="B124" s="260">
        <v>45808</v>
      </c>
      <c r="C124" s="261" t="s">
        <v>372</v>
      </c>
      <c r="D124" s="261"/>
      <c r="E124" s="262">
        <v>1056.21</v>
      </c>
      <c r="F124" s="262">
        <v>0</v>
      </c>
      <c r="G124" s="285">
        <f>Tabla3[[#This Row],[INGRESOS]]-Tabla3[[#This Row],[EGRESOS]]</f>
        <v>-1056.21</v>
      </c>
      <c r="H124" s="133"/>
      <c r="I124" s="135">
        <v>1174</v>
      </c>
      <c r="J124" s="136">
        <f>Tabla3[[#This Row],[EGRESOS]]/Tabla3[[#This Row],[TC]]</f>
        <v>0.89966780238500854</v>
      </c>
      <c r="K124" s="136">
        <f>Tabla3[[#This Row],[INGRESOS]]/Tabla3[[#This Row],[TC]]</f>
        <v>0</v>
      </c>
      <c r="L124" s="8" t="s">
        <v>303</v>
      </c>
      <c r="M124" s="8" t="s">
        <v>304</v>
      </c>
      <c r="N124" s="8" t="s">
        <v>25</v>
      </c>
      <c r="O124" s="8" t="s">
        <v>184</v>
      </c>
      <c r="P124" s="8" t="s">
        <v>187</v>
      </c>
      <c r="Q124" s="8" t="s">
        <v>188</v>
      </c>
      <c r="R124" s="8"/>
      <c r="S124" s="8"/>
      <c r="T124" s="8"/>
      <c r="U124" s="8" t="s">
        <v>261</v>
      </c>
      <c r="V124" s="8"/>
      <c r="W124" s="8" t="s">
        <v>392</v>
      </c>
      <c r="X124" s="8" t="s">
        <v>98</v>
      </c>
      <c r="Y124" s="8" t="s">
        <v>23</v>
      </c>
    </row>
    <row r="125" spans="1:25" s="7" customFormat="1" hidden="1" x14ac:dyDescent="0.25">
      <c r="A125" s="283" t="s">
        <v>247</v>
      </c>
      <c r="B125" s="260">
        <v>45808</v>
      </c>
      <c r="C125" s="261" t="s">
        <v>372</v>
      </c>
      <c r="D125" s="261"/>
      <c r="E125" s="262">
        <v>528.1</v>
      </c>
      <c r="F125" s="262">
        <v>0</v>
      </c>
      <c r="G125" s="285">
        <f>Tabla3[[#This Row],[INGRESOS]]-Tabla3[[#This Row],[EGRESOS]]</f>
        <v>-528.1</v>
      </c>
      <c r="H125" s="133"/>
      <c r="I125" s="135">
        <v>1175</v>
      </c>
      <c r="J125" s="136">
        <f>Tabla3[[#This Row],[EGRESOS]]/Tabla3[[#This Row],[TC]]</f>
        <v>0.44944680851063834</v>
      </c>
      <c r="K125" s="136">
        <f>Tabla3[[#This Row],[INGRESOS]]/Tabla3[[#This Row],[TC]]</f>
        <v>0</v>
      </c>
      <c r="L125" s="8" t="s">
        <v>303</v>
      </c>
      <c r="M125" s="8" t="s">
        <v>304</v>
      </c>
      <c r="N125" s="8" t="s">
        <v>25</v>
      </c>
      <c r="O125" s="8" t="s">
        <v>184</v>
      </c>
      <c r="P125" s="8" t="s">
        <v>187</v>
      </c>
      <c r="Q125" s="8" t="s">
        <v>188</v>
      </c>
      <c r="R125" s="8"/>
      <c r="S125" s="8"/>
      <c r="T125" s="8"/>
      <c r="U125" s="8" t="s">
        <v>261</v>
      </c>
      <c r="V125" s="8"/>
      <c r="W125" s="8" t="s">
        <v>392</v>
      </c>
      <c r="X125" s="8" t="s">
        <v>98</v>
      </c>
      <c r="Y125" s="8" t="s">
        <v>23</v>
      </c>
    </row>
    <row r="126" spans="1:25" s="7" customFormat="1" hidden="1" x14ac:dyDescent="0.25">
      <c r="A126" s="283" t="s">
        <v>247</v>
      </c>
      <c r="B126" s="260">
        <v>45808</v>
      </c>
      <c r="C126" s="261" t="s">
        <v>376</v>
      </c>
      <c r="D126" s="261"/>
      <c r="E126" s="262">
        <v>5029.55</v>
      </c>
      <c r="F126" s="262">
        <v>0</v>
      </c>
      <c r="G126" s="285">
        <f>Tabla3[[#This Row],[INGRESOS]]-Tabla3[[#This Row],[EGRESOS]]</f>
        <v>-5029.55</v>
      </c>
      <c r="H126" s="133"/>
      <c r="I126" s="135">
        <v>1176</v>
      </c>
      <c r="J126" s="136">
        <f>Tabla3[[#This Row],[EGRESOS]]/Tabla3[[#This Row],[TC]]</f>
        <v>4.2768282312925168</v>
      </c>
      <c r="K126" s="136">
        <f>Tabla3[[#This Row],[INGRESOS]]/Tabla3[[#This Row],[TC]]</f>
        <v>0</v>
      </c>
      <c r="L126" s="8" t="s">
        <v>303</v>
      </c>
      <c r="M126" s="8" t="s">
        <v>304</v>
      </c>
      <c r="N126" s="8" t="s">
        <v>25</v>
      </c>
      <c r="O126" s="8" t="s">
        <v>184</v>
      </c>
      <c r="P126" s="8" t="s">
        <v>189</v>
      </c>
      <c r="Q126" s="8" t="s">
        <v>190</v>
      </c>
      <c r="R126" s="8"/>
      <c r="S126" s="8"/>
      <c r="T126" s="8"/>
      <c r="U126" s="8" t="s">
        <v>261</v>
      </c>
      <c r="V126" s="8"/>
      <c r="W126" s="8" t="s">
        <v>392</v>
      </c>
      <c r="X126" s="8" t="s">
        <v>98</v>
      </c>
      <c r="Y126" s="8" t="s">
        <v>23</v>
      </c>
    </row>
    <row r="127" spans="1:25" s="7" customFormat="1" hidden="1" x14ac:dyDescent="0.25">
      <c r="A127" s="283" t="s">
        <v>247</v>
      </c>
      <c r="B127" s="260">
        <v>45808</v>
      </c>
      <c r="C127" s="261" t="s">
        <v>232</v>
      </c>
      <c r="D127" s="261"/>
      <c r="E127" s="262">
        <v>7980</v>
      </c>
      <c r="F127" s="262">
        <v>0</v>
      </c>
      <c r="G127" s="285">
        <f>Tabla3[[#This Row],[INGRESOS]]-Tabla3[[#This Row],[EGRESOS]]</f>
        <v>-7980</v>
      </c>
      <c r="H127" s="133"/>
      <c r="I127" s="135">
        <v>1177</v>
      </c>
      <c r="J127" s="136">
        <f>Tabla3[[#This Row],[EGRESOS]]/Tabla3[[#This Row],[TC]]</f>
        <v>6.7799490229396771</v>
      </c>
      <c r="K127" s="136">
        <f>Tabla3[[#This Row],[INGRESOS]]/Tabla3[[#This Row],[TC]]</f>
        <v>0</v>
      </c>
      <c r="L127" s="8" t="s">
        <v>303</v>
      </c>
      <c r="M127" s="8" t="s">
        <v>304</v>
      </c>
      <c r="N127" s="8" t="s">
        <v>25</v>
      </c>
      <c r="O127" s="8" t="s">
        <v>184</v>
      </c>
      <c r="P127" s="8" t="s">
        <v>187</v>
      </c>
      <c r="Q127" s="8" t="s">
        <v>188</v>
      </c>
      <c r="R127" s="8"/>
      <c r="S127" s="8"/>
      <c r="T127" s="8"/>
      <c r="U127" s="8" t="s">
        <v>261</v>
      </c>
      <c r="V127" s="8"/>
      <c r="W127" s="8" t="s">
        <v>392</v>
      </c>
      <c r="X127" s="8" t="s">
        <v>98</v>
      </c>
      <c r="Y127" s="8" t="s">
        <v>23</v>
      </c>
    </row>
    <row r="128" spans="1:25" s="7" customFormat="1" hidden="1" x14ac:dyDescent="0.25">
      <c r="A128" s="283" t="s">
        <v>247</v>
      </c>
      <c r="B128" s="260">
        <v>45808</v>
      </c>
      <c r="C128" s="261" t="s">
        <v>379</v>
      </c>
      <c r="D128" s="261"/>
      <c r="E128" s="262">
        <v>10059.1</v>
      </c>
      <c r="F128" s="262">
        <v>0</v>
      </c>
      <c r="G128" s="285">
        <f>Tabla3[[#This Row],[INGRESOS]]-Tabla3[[#This Row],[EGRESOS]]</f>
        <v>-10059.1</v>
      </c>
      <c r="H128" s="133"/>
      <c r="I128" s="135">
        <v>1178</v>
      </c>
      <c r="J128" s="136">
        <f>Tabla3[[#This Row],[EGRESOS]]/Tabla3[[#This Row],[TC]]</f>
        <v>8.5391341256366733</v>
      </c>
      <c r="K128" s="136">
        <f>Tabla3[[#This Row],[INGRESOS]]/Tabla3[[#This Row],[TC]]</f>
        <v>0</v>
      </c>
      <c r="L128" s="8" t="s">
        <v>303</v>
      </c>
      <c r="M128" s="8" t="s">
        <v>304</v>
      </c>
      <c r="N128" s="8" t="s">
        <v>25</v>
      </c>
      <c r="O128" s="8" t="s">
        <v>184</v>
      </c>
      <c r="P128" s="8" t="s">
        <v>189</v>
      </c>
      <c r="Q128" s="8" t="s">
        <v>190</v>
      </c>
      <c r="R128" s="8"/>
      <c r="S128" s="8"/>
      <c r="T128" s="8"/>
      <c r="U128" s="8" t="s">
        <v>261</v>
      </c>
      <c r="V128" s="8"/>
      <c r="W128" s="8" t="s">
        <v>392</v>
      </c>
      <c r="X128" s="8" t="s">
        <v>98</v>
      </c>
      <c r="Y128" s="8" t="s">
        <v>23</v>
      </c>
    </row>
    <row r="129" spans="1:25" s="7" customFormat="1" hidden="1" x14ac:dyDescent="0.25">
      <c r="A129" s="283" t="s">
        <v>247</v>
      </c>
      <c r="B129" s="260">
        <v>45808</v>
      </c>
      <c r="C129" s="261" t="s">
        <v>381</v>
      </c>
      <c r="D129" s="261"/>
      <c r="E129" s="262">
        <v>3855.04</v>
      </c>
      <c r="F129" s="262">
        <v>0</v>
      </c>
      <c r="G129" s="285">
        <f>Tabla3[[#This Row],[INGRESOS]]-Tabla3[[#This Row],[EGRESOS]]</f>
        <v>-3855.04</v>
      </c>
      <c r="H129" s="133"/>
      <c r="I129" s="135">
        <v>1179</v>
      </c>
      <c r="J129" s="136">
        <f>Tabla3[[#This Row],[EGRESOS]]/Tabla3[[#This Row],[TC]]</f>
        <v>3.2697540288379985</v>
      </c>
      <c r="K129" s="136">
        <f>Tabla3[[#This Row],[INGRESOS]]/Tabla3[[#This Row],[TC]]</f>
        <v>0</v>
      </c>
      <c r="L129" s="8" t="s">
        <v>303</v>
      </c>
      <c r="M129" s="8" t="s">
        <v>304</v>
      </c>
      <c r="N129" s="8" t="s">
        <v>25</v>
      </c>
      <c r="O129" s="8" t="s">
        <v>184</v>
      </c>
      <c r="P129" s="8" t="s">
        <v>187</v>
      </c>
      <c r="Q129" s="8" t="s">
        <v>188</v>
      </c>
      <c r="R129" s="8"/>
      <c r="S129" s="8"/>
      <c r="T129" s="8"/>
      <c r="U129" s="8" t="s">
        <v>261</v>
      </c>
      <c r="V129" s="8"/>
      <c r="W129" s="8" t="s">
        <v>392</v>
      </c>
      <c r="X129" s="8" t="s">
        <v>98</v>
      </c>
      <c r="Y129" s="8" t="s">
        <v>23</v>
      </c>
    </row>
    <row r="130" spans="1:25" s="7" customFormat="1" hidden="1" x14ac:dyDescent="0.25">
      <c r="A130" s="283" t="s">
        <v>247</v>
      </c>
      <c r="B130" s="260">
        <v>45808</v>
      </c>
      <c r="C130" s="261" t="s">
        <v>381</v>
      </c>
      <c r="D130" s="261"/>
      <c r="E130" s="262">
        <v>215.55</v>
      </c>
      <c r="F130" s="262">
        <v>0</v>
      </c>
      <c r="G130" s="285">
        <f>Tabla3[[#This Row],[INGRESOS]]-Tabla3[[#This Row],[EGRESOS]]</f>
        <v>-215.55</v>
      </c>
      <c r="H130" s="133"/>
      <c r="I130" s="135">
        <v>1180</v>
      </c>
      <c r="J130" s="136">
        <f>Tabla3[[#This Row],[EGRESOS]]/Tabla3[[#This Row],[TC]]</f>
        <v>0.18266949152542375</v>
      </c>
      <c r="K130" s="136">
        <f>Tabla3[[#This Row],[INGRESOS]]/Tabla3[[#This Row],[TC]]</f>
        <v>0</v>
      </c>
      <c r="L130" s="8" t="s">
        <v>303</v>
      </c>
      <c r="M130" s="8" t="s">
        <v>304</v>
      </c>
      <c r="N130" s="8" t="s">
        <v>25</v>
      </c>
      <c r="O130" s="8" t="s">
        <v>184</v>
      </c>
      <c r="P130" s="8" t="s">
        <v>187</v>
      </c>
      <c r="Q130" s="8" t="s">
        <v>188</v>
      </c>
      <c r="R130" s="8"/>
      <c r="S130" s="8"/>
      <c r="T130" s="8"/>
      <c r="U130" s="8" t="s">
        <v>261</v>
      </c>
      <c r="V130" s="8"/>
      <c r="W130" s="8" t="s">
        <v>392</v>
      </c>
      <c r="X130" s="8" t="s">
        <v>98</v>
      </c>
      <c r="Y130" s="8" t="s">
        <v>23</v>
      </c>
    </row>
    <row r="131" spans="1:25" s="7" customFormat="1" hidden="1" x14ac:dyDescent="0.25">
      <c r="A131" s="283" t="s">
        <v>247</v>
      </c>
      <c r="B131" s="260">
        <v>45808</v>
      </c>
      <c r="C131" s="261" t="s">
        <v>384</v>
      </c>
      <c r="D131" s="261"/>
      <c r="E131" s="262">
        <v>38000</v>
      </c>
      <c r="F131" s="262">
        <v>0</v>
      </c>
      <c r="G131" s="285">
        <f>Tabla3[[#This Row],[INGRESOS]]-Tabla3[[#This Row],[EGRESOS]]</f>
        <v>-38000</v>
      </c>
      <c r="H131" s="133"/>
      <c r="I131" s="135">
        <v>1181</v>
      </c>
      <c r="J131" s="136">
        <f>Tabla3[[#This Row],[EGRESOS]]/Tabla3[[#This Row],[TC]]</f>
        <v>32.176121930567312</v>
      </c>
      <c r="K131" s="136">
        <f>Tabla3[[#This Row],[INGRESOS]]/Tabla3[[#This Row],[TC]]</f>
        <v>0</v>
      </c>
      <c r="L131" s="8" t="s">
        <v>303</v>
      </c>
      <c r="M131" s="8" t="s">
        <v>304</v>
      </c>
      <c r="N131" s="8" t="s">
        <v>25</v>
      </c>
      <c r="O131" s="8" t="s">
        <v>184</v>
      </c>
      <c r="P131" s="8" t="s">
        <v>185</v>
      </c>
      <c r="Q131" s="8" t="s">
        <v>186</v>
      </c>
      <c r="R131" s="8"/>
      <c r="S131" s="8"/>
      <c r="T131" s="8"/>
      <c r="U131" s="8" t="s">
        <v>261</v>
      </c>
      <c r="V131" s="8"/>
      <c r="W131" s="8" t="s">
        <v>392</v>
      </c>
      <c r="X131" s="8" t="s">
        <v>98</v>
      </c>
      <c r="Y131" s="8" t="s">
        <v>23</v>
      </c>
    </row>
    <row r="132" spans="1:25" s="7" customFormat="1" hidden="1" x14ac:dyDescent="0.25">
      <c r="A132" s="283" t="s">
        <v>247</v>
      </c>
      <c r="B132" s="260">
        <v>45808</v>
      </c>
      <c r="C132" s="261" t="s">
        <v>334</v>
      </c>
      <c r="D132" s="261"/>
      <c r="E132" s="262">
        <v>1140</v>
      </c>
      <c r="F132" s="262">
        <v>0</v>
      </c>
      <c r="G132" s="285">
        <f>Tabla3[[#This Row],[INGRESOS]]-Tabla3[[#This Row],[EGRESOS]]</f>
        <v>-1140</v>
      </c>
      <c r="H132" s="133"/>
      <c r="I132" s="135">
        <v>1182</v>
      </c>
      <c r="J132" s="136">
        <f>Tabla3[[#This Row],[EGRESOS]]/Tabla3[[#This Row],[TC]]</f>
        <v>0.96446700507614214</v>
      </c>
      <c r="K132" s="136">
        <f>Tabla3[[#This Row],[INGRESOS]]/Tabla3[[#This Row],[TC]]</f>
        <v>0</v>
      </c>
      <c r="L132" s="8" t="s">
        <v>303</v>
      </c>
      <c r="M132" s="8" t="s">
        <v>304</v>
      </c>
      <c r="N132" s="8" t="s">
        <v>25</v>
      </c>
      <c r="O132" s="8" t="s">
        <v>184</v>
      </c>
      <c r="P132" s="8" t="s">
        <v>187</v>
      </c>
      <c r="Q132" s="8" t="s">
        <v>188</v>
      </c>
      <c r="R132" s="8"/>
      <c r="S132" s="8"/>
      <c r="T132" s="8"/>
      <c r="U132" s="8" t="s">
        <v>261</v>
      </c>
      <c r="V132" s="8"/>
      <c r="W132" s="8" t="s">
        <v>392</v>
      </c>
      <c r="X132" s="8" t="s">
        <v>98</v>
      </c>
      <c r="Y132" s="8" t="s">
        <v>23</v>
      </c>
    </row>
    <row r="133" spans="1:25" s="7" customFormat="1" hidden="1" x14ac:dyDescent="0.25">
      <c r="A133" s="283" t="s">
        <v>725</v>
      </c>
      <c r="B133" s="260">
        <v>45820</v>
      </c>
      <c r="C133" s="261" t="s">
        <v>359</v>
      </c>
      <c r="D133" s="261"/>
      <c r="E133" s="262">
        <v>0</v>
      </c>
      <c r="F133" s="262">
        <v>10000000</v>
      </c>
      <c r="G133" s="285">
        <f>Tabla3[[#This Row],[INGRESOS]]-Tabla3[[#This Row],[EGRESOS]]</f>
        <v>10000000</v>
      </c>
      <c r="H133" s="137"/>
      <c r="I133" s="135">
        <v>1183</v>
      </c>
      <c r="J133" s="136">
        <f>Tabla3[[#This Row],[EGRESOS]]/Tabla3[[#This Row],[TC]]</f>
        <v>0</v>
      </c>
      <c r="K133" s="136">
        <f>Tabla3[[#This Row],[INGRESOS]]/Tabla3[[#This Row],[TC]]</f>
        <v>8453.0853761622984</v>
      </c>
      <c r="L133" s="8" t="s">
        <v>303</v>
      </c>
      <c r="M133" s="8" t="s">
        <v>304</v>
      </c>
      <c r="N133" s="8" t="s">
        <v>25</v>
      </c>
      <c r="O133" s="8" t="s">
        <v>214</v>
      </c>
      <c r="P133" s="8" t="s">
        <v>216</v>
      </c>
      <c r="Q133" s="8" t="s">
        <v>217</v>
      </c>
      <c r="R133" s="8" t="s">
        <v>388</v>
      </c>
      <c r="S133" s="8"/>
      <c r="T133" s="8"/>
      <c r="U133" s="8" t="s">
        <v>262</v>
      </c>
      <c r="V133" s="8"/>
      <c r="W133" s="8"/>
      <c r="X133" s="8"/>
      <c r="Y133" s="8"/>
    </row>
    <row r="134" spans="1:25" s="7" customFormat="1" hidden="1" x14ac:dyDescent="0.25">
      <c r="A134" s="283" t="s">
        <v>725</v>
      </c>
      <c r="B134" s="260">
        <v>45832</v>
      </c>
      <c r="C134" s="261" t="s">
        <v>915</v>
      </c>
      <c r="D134" s="261"/>
      <c r="E134" s="262">
        <v>4700000</v>
      </c>
      <c r="F134" s="262">
        <v>0</v>
      </c>
      <c r="G134" s="285">
        <f>Tabla3[[#This Row],[INGRESOS]]-Tabla3[[#This Row],[EGRESOS]]</f>
        <v>-4700000</v>
      </c>
      <c r="H134" s="137"/>
      <c r="I134" s="135">
        <v>1184</v>
      </c>
      <c r="J134" s="136">
        <f>Tabla3[[#This Row],[EGRESOS]]/Tabla3[[#This Row],[TC]]</f>
        <v>3969.5945945945946</v>
      </c>
      <c r="K134" s="136">
        <f>Tabla3[[#This Row],[INGRESOS]]/Tabla3[[#This Row],[TC]]</f>
        <v>0</v>
      </c>
      <c r="L134" s="8" t="s">
        <v>303</v>
      </c>
      <c r="M134" s="8" t="s">
        <v>304</v>
      </c>
      <c r="N134" s="8" t="s">
        <v>25</v>
      </c>
      <c r="O134" s="8" t="s">
        <v>214</v>
      </c>
      <c r="P134" s="8" t="s">
        <v>216</v>
      </c>
      <c r="Q134" s="8" t="s">
        <v>217</v>
      </c>
      <c r="R134" s="8" t="s">
        <v>305</v>
      </c>
      <c r="S134" s="8"/>
      <c r="T134" s="8"/>
      <c r="U134" s="8" t="s">
        <v>262</v>
      </c>
      <c r="V134" s="8"/>
      <c r="W134" s="8"/>
      <c r="X134" s="8"/>
      <c r="Y134" s="8"/>
    </row>
    <row r="135" spans="1:25" s="7" customFormat="1" hidden="1" x14ac:dyDescent="0.25">
      <c r="A135" s="283" t="s">
        <v>725</v>
      </c>
      <c r="B135" s="260">
        <v>45832</v>
      </c>
      <c r="C135" s="261" t="s">
        <v>915</v>
      </c>
      <c r="D135" s="261"/>
      <c r="E135" s="262">
        <v>5000000</v>
      </c>
      <c r="F135" s="262">
        <v>0</v>
      </c>
      <c r="G135" s="285">
        <f>Tabla3[[#This Row],[INGRESOS]]-Tabla3[[#This Row],[EGRESOS]]</f>
        <v>-5000000</v>
      </c>
      <c r="H135" s="137">
        <v>-9667175.1799999997</v>
      </c>
      <c r="I135" s="135">
        <v>1185</v>
      </c>
      <c r="J135" s="136">
        <f>Tabla3[[#This Row],[EGRESOS]]/Tabla3[[#This Row],[TC]]</f>
        <v>4219.4092827004215</v>
      </c>
      <c r="K135" s="136">
        <f>Tabla3[[#This Row],[INGRESOS]]/Tabla3[[#This Row],[TC]]</f>
        <v>0</v>
      </c>
      <c r="L135" s="8" t="s">
        <v>303</v>
      </c>
      <c r="M135" s="8" t="s">
        <v>304</v>
      </c>
      <c r="N135" s="8" t="s">
        <v>25</v>
      </c>
      <c r="O135" s="8" t="s">
        <v>214</v>
      </c>
      <c r="P135" s="8" t="s">
        <v>216</v>
      </c>
      <c r="Q135" s="8" t="s">
        <v>217</v>
      </c>
      <c r="R135" s="8" t="s">
        <v>686</v>
      </c>
      <c r="S135" s="8"/>
      <c r="T135" s="8"/>
      <c r="U135" s="8" t="s">
        <v>262</v>
      </c>
      <c r="V135" s="8"/>
      <c r="W135" s="8"/>
      <c r="X135" s="8"/>
      <c r="Y135" s="8"/>
    </row>
    <row r="136" spans="1:25" s="7" customFormat="1" hidden="1" x14ac:dyDescent="0.25">
      <c r="A136" s="283" t="s">
        <v>725</v>
      </c>
      <c r="B136" s="260">
        <v>45833</v>
      </c>
      <c r="C136" s="261" t="s">
        <v>362</v>
      </c>
      <c r="D136" s="261"/>
      <c r="E136" s="262">
        <v>22461.29</v>
      </c>
      <c r="F136" s="262"/>
      <c r="G136" s="285">
        <f>Tabla3[[#This Row],[INGRESOS]]-Tabla3[[#This Row],[EGRESOS]]</f>
        <v>-22461.29</v>
      </c>
      <c r="H136" s="137"/>
      <c r="I136" s="135">
        <v>1186</v>
      </c>
      <c r="J136" s="136">
        <f>Tabla3[[#This Row],[EGRESOS]]/Tabla3[[#This Row],[TC]]</f>
        <v>18.938693086003372</v>
      </c>
      <c r="K136" s="136">
        <f>Tabla3[[#This Row],[INGRESOS]]/Tabla3[[#This Row],[TC]]</f>
        <v>0</v>
      </c>
      <c r="L136" s="8" t="s">
        <v>303</v>
      </c>
      <c r="M136" s="8" t="s">
        <v>304</v>
      </c>
      <c r="N136" s="8" t="s">
        <v>25</v>
      </c>
      <c r="O136" s="8" t="s">
        <v>184</v>
      </c>
      <c r="P136" s="8" t="s">
        <v>187</v>
      </c>
      <c r="Q136" s="8" t="s">
        <v>188</v>
      </c>
      <c r="R136" s="8"/>
      <c r="S136" s="8"/>
      <c r="T136" s="8"/>
      <c r="U136" s="8" t="s">
        <v>261</v>
      </c>
      <c r="V136" s="8"/>
      <c r="W136" s="8" t="s">
        <v>392</v>
      </c>
      <c r="X136" s="8" t="s">
        <v>98</v>
      </c>
      <c r="Y136" s="8" t="s">
        <v>23</v>
      </c>
    </row>
    <row r="137" spans="1:25" s="7" customFormat="1" hidden="1" x14ac:dyDescent="0.25">
      <c r="A137" s="283" t="s">
        <v>725</v>
      </c>
      <c r="B137" s="260">
        <v>45833</v>
      </c>
      <c r="C137" s="261" t="s">
        <v>359</v>
      </c>
      <c r="D137" s="261"/>
      <c r="E137" s="262">
        <v>0</v>
      </c>
      <c r="F137" s="262">
        <v>14000000</v>
      </c>
      <c r="G137" s="285">
        <f>Tabla3[[#This Row],[INGRESOS]]-Tabla3[[#This Row],[EGRESOS]]</f>
        <v>14000000</v>
      </c>
      <c r="H137" s="133"/>
      <c r="I137" s="135">
        <v>1187</v>
      </c>
      <c r="J137" s="136">
        <f>Tabla3[[#This Row],[EGRESOS]]/Tabla3[[#This Row],[TC]]</f>
        <v>0</v>
      </c>
      <c r="K137" s="136">
        <f>Tabla3[[#This Row],[INGRESOS]]/Tabla3[[#This Row],[TC]]</f>
        <v>11794.439764111205</v>
      </c>
      <c r="L137" s="8" t="s">
        <v>303</v>
      </c>
      <c r="M137" s="8" t="s">
        <v>304</v>
      </c>
      <c r="N137" s="8" t="s">
        <v>25</v>
      </c>
      <c r="O137" s="8" t="s">
        <v>214</v>
      </c>
      <c r="P137" s="8" t="s">
        <v>216</v>
      </c>
      <c r="Q137" s="8" t="s">
        <v>217</v>
      </c>
      <c r="R137" s="8" t="s">
        <v>484</v>
      </c>
      <c r="S137" s="8"/>
      <c r="T137" s="8"/>
      <c r="U137" s="8" t="s">
        <v>262</v>
      </c>
      <c r="V137" s="8"/>
      <c r="W137" s="8"/>
      <c r="X137" s="8"/>
      <c r="Y137" s="8"/>
    </row>
    <row r="138" spans="1:25" s="7" customFormat="1" hidden="1" x14ac:dyDescent="0.25">
      <c r="A138" s="283" t="s">
        <v>725</v>
      </c>
      <c r="B138" s="260">
        <v>45833</v>
      </c>
      <c r="C138" s="261" t="s">
        <v>366</v>
      </c>
      <c r="D138" s="261"/>
      <c r="E138" s="262">
        <v>3743547.5</v>
      </c>
      <c r="F138" s="262">
        <v>0</v>
      </c>
      <c r="G138" s="285">
        <f>Tabla3[[#This Row],[INGRESOS]]-Tabla3[[#This Row],[EGRESOS]]</f>
        <v>-3743547.5</v>
      </c>
      <c r="H138" s="137">
        <v>566816.03</v>
      </c>
      <c r="I138" s="135">
        <v>1188</v>
      </c>
      <c r="J138" s="136">
        <f>Tabla3[[#This Row],[EGRESOS]]/Tabla3[[#This Row],[TC]]</f>
        <v>3151.1342592592591</v>
      </c>
      <c r="K138" s="136">
        <f>Tabla3[[#This Row],[INGRESOS]]/Tabla3[[#This Row],[TC]]</f>
        <v>0</v>
      </c>
      <c r="L138" s="8" t="s">
        <v>303</v>
      </c>
      <c r="M138" s="8" t="s">
        <v>304</v>
      </c>
      <c r="N138" s="8" t="s">
        <v>25</v>
      </c>
      <c r="O138" s="8" t="s">
        <v>214</v>
      </c>
      <c r="P138" s="8" t="s">
        <v>38</v>
      </c>
      <c r="Q138" s="8" t="s">
        <v>931</v>
      </c>
      <c r="R138" s="8" t="s">
        <v>802</v>
      </c>
      <c r="S138" s="8"/>
      <c r="T138" s="8"/>
      <c r="U138" s="8" t="s">
        <v>275</v>
      </c>
      <c r="V138" s="8"/>
      <c r="W138" s="8" t="s">
        <v>306</v>
      </c>
      <c r="X138" s="8" t="s">
        <v>91</v>
      </c>
      <c r="Y138" s="8" t="s">
        <v>23</v>
      </c>
    </row>
    <row r="139" spans="1:25" s="7" customFormat="1" hidden="1" x14ac:dyDescent="0.25">
      <c r="A139" s="283" t="s">
        <v>725</v>
      </c>
      <c r="B139" s="260">
        <v>45838</v>
      </c>
      <c r="C139" s="261" t="s">
        <v>362</v>
      </c>
      <c r="D139" s="261"/>
      <c r="E139" s="262">
        <v>930</v>
      </c>
      <c r="F139" s="262">
        <v>0</v>
      </c>
      <c r="G139" s="285">
        <f>Tabla3[[#This Row],[INGRESOS]]-Tabla3[[#This Row],[EGRESOS]]</f>
        <v>-930</v>
      </c>
      <c r="H139" s="137"/>
      <c r="I139" s="135">
        <v>1189</v>
      </c>
      <c r="J139" s="136">
        <f>Tabla3[[#This Row],[EGRESOS]]/Tabla3[[#This Row],[TC]]</f>
        <v>0.78216989066442388</v>
      </c>
      <c r="K139" s="136">
        <f>Tabla3[[#This Row],[INGRESOS]]/Tabla3[[#This Row],[TC]]</f>
        <v>0</v>
      </c>
      <c r="L139" s="8" t="s">
        <v>303</v>
      </c>
      <c r="M139" s="8" t="s">
        <v>304</v>
      </c>
      <c r="N139" s="8" t="s">
        <v>25</v>
      </c>
      <c r="O139" s="8" t="s">
        <v>184</v>
      </c>
      <c r="P139" s="8" t="s">
        <v>187</v>
      </c>
      <c r="Q139" s="8" t="s">
        <v>188</v>
      </c>
      <c r="R139" s="8"/>
      <c r="S139" s="8"/>
      <c r="T139" s="8"/>
      <c r="U139" s="8" t="s">
        <v>261</v>
      </c>
      <c r="V139" s="8"/>
      <c r="W139" s="8" t="s">
        <v>392</v>
      </c>
      <c r="X139" s="8" t="s">
        <v>98</v>
      </c>
      <c r="Y139" s="8" t="s">
        <v>23</v>
      </c>
    </row>
    <row r="140" spans="1:25" s="7" customFormat="1" hidden="1" x14ac:dyDescent="0.25">
      <c r="A140" s="283" t="s">
        <v>725</v>
      </c>
      <c r="B140" s="260">
        <v>45838</v>
      </c>
      <c r="C140" s="261" t="s">
        <v>949</v>
      </c>
      <c r="D140" s="261"/>
      <c r="E140" s="262">
        <v>155000</v>
      </c>
      <c r="F140" s="262">
        <v>0</v>
      </c>
      <c r="G140" s="285">
        <f>Tabla3[[#This Row],[INGRESOS]]-Tabla3[[#This Row],[EGRESOS]]</f>
        <v>-155000</v>
      </c>
      <c r="H140" s="137">
        <v>410886.03</v>
      </c>
      <c r="I140" s="135">
        <v>1190</v>
      </c>
      <c r="J140" s="136">
        <f>Tabla3[[#This Row],[EGRESOS]]/Tabla3[[#This Row],[TC]]</f>
        <v>130.25210084033614</v>
      </c>
      <c r="K140" s="136">
        <f>Tabla3[[#This Row],[INGRESOS]]/Tabla3[[#This Row],[TC]]</f>
        <v>0</v>
      </c>
      <c r="L140" s="8" t="s">
        <v>303</v>
      </c>
      <c r="M140" s="8" t="s">
        <v>304</v>
      </c>
      <c r="N140" s="8" t="s">
        <v>25</v>
      </c>
      <c r="O140" s="8" t="s">
        <v>184</v>
      </c>
      <c r="P140" s="8" t="s">
        <v>191</v>
      </c>
      <c r="Q140" s="8" t="s">
        <v>192</v>
      </c>
      <c r="R140" s="8" t="s">
        <v>950</v>
      </c>
      <c r="S140" s="8" t="s">
        <v>431</v>
      </c>
      <c r="T140" s="8"/>
      <c r="U140" s="8" t="s">
        <v>266</v>
      </c>
      <c r="V140" s="8"/>
      <c r="W140" s="8" t="s">
        <v>306</v>
      </c>
      <c r="X140" s="8" t="s">
        <v>98</v>
      </c>
      <c r="Y140" s="8" t="s">
        <v>23</v>
      </c>
    </row>
    <row r="141" spans="1:25" s="7" customFormat="1" hidden="1" x14ac:dyDescent="0.25">
      <c r="A141" s="283" t="s">
        <v>725</v>
      </c>
      <c r="B141" s="260">
        <v>45838</v>
      </c>
      <c r="C141" s="261" t="s">
        <v>334</v>
      </c>
      <c r="D141" s="261"/>
      <c r="E141" s="262">
        <v>1140</v>
      </c>
      <c r="F141" s="262">
        <v>0</v>
      </c>
      <c r="G141" s="285">
        <f>Tabla3[[#This Row],[INGRESOS]]-Tabla3[[#This Row],[EGRESOS]]</f>
        <v>-1140</v>
      </c>
      <c r="H141" s="137"/>
      <c r="I141" s="135">
        <v>1191</v>
      </c>
      <c r="J141" s="136">
        <f>Tabla3[[#This Row],[EGRESOS]]/Tabla3[[#This Row],[TC]]</f>
        <v>0.95717884130982367</v>
      </c>
      <c r="K141" s="136">
        <f>Tabla3[[#This Row],[INGRESOS]]/Tabla3[[#This Row],[TC]]</f>
        <v>0</v>
      </c>
      <c r="L141" s="8" t="s">
        <v>303</v>
      </c>
      <c r="M141" s="8" t="s">
        <v>304</v>
      </c>
      <c r="N141" s="8" t="s">
        <v>25</v>
      </c>
      <c r="O141" s="8" t="s">
        <v>184</v>
      </c>
      <c r="P141" s="8" t="s">
        <v>187</v>
      </c>
      <c r="Q141" s="8" t="s">
        <v>188</v>
      </c>
      <c r="R141" s="282" t="s">
        <v>475</v>
      </c>
      <c r="S141" s="8"/>
      <c r="T141" s="8"/>
      <c r="U141" s="8" t="s">
        <v>261</v>
      </c>
      <c r="V141" s="8"/>
      <c r="W141" s="8" t="s">
        <v>392</v>
      </c>
      <c r="X141" s="8" t="s">
        <v>98</v>
      </c>
      <c r="Y141" s="8" t="s">
        <v>23</v>
      </c>
    </row>
    <row r="142" spans="1:25" s="7" customFormat="1" hidden="1" x14ac:dyDescent="0.25">
      <c r="A142" s="283" t="s">
        <v>725</v>
      </c>
      <c r="B142" s="260">
        <v>45838</v>
      </c>
      <c r="C142" s="261" t="s">
        <v>384</v>
      </c>
      <c r="D142" s="261"/>
      <c r="E142" s="262">
        <v>38000</v>
      </c>
      <c r="F142" s="262">
        <v>0</v>
      </c>
      <c r="G142" s="285">
        <f>Tabla3[[#This Row],[INGRESOS]]-Tabla3[[#This Row],[EGRESOS]]</f>
        <v>-38000</v>
      </c>
      <c r="H142" s="137"/>
      <c r="I142" s="135">
        <v>1192</v>
      </c>
      <c r="J142" s="136">
        <f>Tabla3[[#This Row],[EGRESOS]]/Tabla3[[#This Row],[TC]]</f>
        <v>31.879194630872483</v>
      </c>
      <c r="K142" s="136">
        <f>Tabla3[[#This Row],[INGRESOS]]/Tabla3[[#This Row],[TC]]</f>
        <v>0</v>
      </c>
      <c r="L142" s="8" t="s">
        <v>303</v>
      </c>
      <c r="M142" s="8" t="s">
        <v>304</v>
      </c>
      <c r="N142" s="8" t="s">
        <v>25</v>
      </c>
      <c r="O142" s="8" t="s">
        <v>184</v>
      </c>
      <c r="P142" s="8" t="s">
        <v>185</v>
      </c>
      <c r="Q142" s="8" t="s">
        <v>186</v>
      </c>
      <c r="R142" s="8"/>
      <c r="S142" s="8"/>
      <c r="T142" s="8"/>
      <c r="U142" s="8" t="s">
        <v>261</v>
      </c>
      <c r="V142" s="8"/>
      <c r="W142" s="8" t="s">
        <v>392</v>
      </c>
      <c r="X142" s="8" t="s">
        <v>98</v>
      </c>
      <c r="Y142" s="8" t="s">
        <v>23</v>
      </c>
    </row>
    <row r="143" spans="1:25" s="7" customFormat="1" hidden="1" x14ac:dyDescent="0.25">
      <c r="A143" s="283" t="s">
        <v>725</v>
      </c>
      <c r="B143" s="260">
        <v>45838</v>
      </c>
      <c r="C143" s="261" t="s">
        <v>381</v>
      </c>
      <c r="D143" s="261"/>
      <c r="E143" s="262">
        <v>3922.39</v>
      </c>
      <c r="F143" s="262">
        <v>0</v>
      </c>
      <c r="G143" s="285">
        <f>Tabla3[[#This Row],[INGRESOS]]-Tabla3[[#This Row],[EGRESOS]]</f>
        <v>-3922.39</v>
      </c>
      <c r="H143" s="137"/>
      <c r="I143" s="135">
        <v>1193</v>
      </c>
      <c r="J143" s="136">
        <f>Tabla3[[#This Row],[EGRESOS]]/Tabla3[[#This Row],[TC]]</f>
        <v>3.2878373847443418</v>
      </c>
      <c r="K143" s="136">
        <f>Tabla3[[#This Row],[INGRESOS]]/Tabla3[[#This Row],[TC]]</f>
        <v>0</v>
      </c>
      <c r="L143" s="8" t="s">
        <v>303</v>
      </c>
      <c r="M143" s="8" t="s">
        <v>304</v>
      </c>
      <c r="N143" s="8" t="s">
        <v>25</v>
      </c>
      <c r="O143" s="8" t="s">
        <v>184</v>
      </c>
      <c r="P143" s="8" t="s">
        <v>187</v>
      </c>
      <c r="Q143" s="8" t="s">
        <v>188</v>
      </c>
      <c r="R143" s="8" t="s">
        <v>339</v>
      </c>
      <c r="S143" s="8"/>
      <c r="T143" s="8"/>
      <c r="U143" s="8" t="s">
        <v>261</v>
      </c>
      <c r="V143" s="8"/>
      <c r="W143" s="8" t="s">
        <v>392</v>
      </c>
      <c r="X143" s="8" t="s">
        <v>98</v>
      </c>
      <c r="Y143" s="8" t="s">
        <v>23</v>
      </c>
    </row>
    <row r="144" spans="1:25" s="7" customFormat="1" hidden="1" x14ac:dyDescent="0.25">
      <c r="A144" s="283" t="s">
        <v>725</v>
      </c>
      <c r="B144" s="260">
        <v>45838</v>
      </c>
      <c r="C144" s="261" t="s">
        <v>232</v>
      </c>
      <c r="D144" s="261"/>
      <c r="E144" s="262">
        <v>7980</v>
      </c>
      <c r="F144" s="262">
        <v>0</v>
      </c>
      <c r="G144" s="285">
        <f>Tabla3[[#This Row],[INGRESOS]]-Tabla3[[#This Row],[EGRESOS]]</f>
        <v>-7980</v>
      </c>
      <c r="H144" s="133"/>
      <c r="I144" s="135">
        <v>1194</v>
      </c>
      <c r="J144" s="136">
        <f>Tabla3[[#This Row],[EGRESOS]]/Tabla3[[#This Row],[TC]]</f>
        <v>6.683417085427136</v>
      </c>
      <c r="K144" s="136">
        <f>Tabla3[[#This Row],[INGRESOS]]/Tabla3[[#This Row],[TC]]</f>
        <v>0</v>
      </c>
      <c r="L144" s="8" t="s">
        <v>303</v>
      </c>
      <c r="M144" s="8" t="s">
        <v>304</v>
      </c>
      <c r="N144" s="8" t="s">
        <v>25</v>
      </c>
      <c r="O144" s="8" t="s">
        <v>184</v>
      </c>
      <c r="P144" s="8" t="s">
        <v>187</v>
      </c>
      <c r="Q144" s="8" t="s">
        <v>188</v>
      </c>
      <c r="R144" s="8" t="s">
        <v>308</v>
      </c>
      <c r="S144" s="8"/>
      <c r="T144" s="8"/>
      <c r="U144" s="8" t="s">
        <v>261</v>
      </c>
      <c r="V144" s="8"/>
      <c r="W144" s="8" t="s">
        <v>392</v>
      </c>
      <c r="X144" s="8" t="s">
        <v>98</v>
      </c>
      <c r="Y144" s="8" t="s">
        <v>23</v>
      </c>
    </row>
    <row r="145" spans="1:25" s="7" customFormat="1" hidden="1" x14ac:dyDescent="0.25">
      <c r="A145" s="283" t="s">
        <v>725</v>
      </c>
      <c r="B145" s="260">
        <v>45838</v>
      </c>
      <c r="C145" s="261" t="s">
        <v>372</v>
      </c>
      <c r="D145" s="261"/>
      <c r="E145" s="262">
        <v>19219.77</v>
      </c>
      <c r="F145" s="262">
        <v>0</v>
      </c>
      <c r="G145" s="285">
        <f>Tabla3[[#This Row],[INGRESOS]]-Tabla3[[#This Row],[EGRESOS]]</f>
        <v>-19219.77</v>
      </c>
      <c r="H145" s="133"/>
      <c r="I145" s="135">
        <v>1195</v>
      </c>
      <c r="J145" s="136">
        <f>Tabla3[[#This Row],[EGRESOS]]/Tabla3[[#This Row],[TC]]</f>
        <v>16.083489539748953</v>
      </c>
      <c r="K145" s="136">
        <f>Tabla3[[#This Row],[INGRESOS]]/Tabla3[[#This Row],[TC]]</f>
        <v>0</v>
      </c>
      <c r="L145" s="8" t="s">
        <v>303</v>
      </c>
      <c r="M145" s="8" t="s">
        <v>304</v>
      </c>
      <c r="N145" s="8" t="s">
        <v>25</v>
      </c>
      <c r="O145" s="8" t="s">
        <v>184</v>
      </c>
      <c r="P145" s="8" t="s">
        <v>187</v>
      </c>
      <c r="Q145" s="8" t="s">
        <v>188</v>
      </c>
      <c r="R145" s="8" t="s">
        <v>232</v>
      </c>
      <c r="S145" s="8"/>
      <c r="T145" s="8"/>
      <c r="U145" s="8" t="s">
        <v>261</v>
      </c>
      <c r="V145" s="8"/>
      <c r="W145" s="8" t="s">
        <v>392</v>
      </c>
      <c r="X145" s="8" t="s">
        <v>98</v>
      </c>
      <c r="Y145" s="8" t="s">
        <v>23</v>
      </c>
    </row>
    <row r="146" spans="1:25" s="7" customFormat="1" hidden="1" x14ac:dyDescent="0.25">
      <c r="A146" s="283" t="s">
        <v>725</v>
      </c>
      <c r="B146" s="260">
        <v>45838</v>
      </c>
      <c r="C146" s="261" t="s">
        <v>362</v>
      </c>
      <c r="D146" s="261"/>
      <c r="E146" s="262">
        <v>930</v>
      </c>
      <c r="F146" s="262">
        <v>0</v>
      </c>
      <c r="G146" s="285">
        <f>Tabla3[[#This Row],[INGRESOS]]-Tabla3[[#This Row],[EGRESOS]]</f>
        <v>-930</v>
      </c>
      <c r="H146" s="133"/>
      <c r="I146" s="135">
        <v>1196</v>
      </c>
      <c r="J146" s="136">
        <f>Tabla3[[#This Row],[EGRESOS]]/Tabla3[[#This Row],[TC]]</f>
        <v>0.77759197324414719</v>
      </c>
      <c r="K146" s="136">
        <f>Tabla3[[#This Row],[INGRESOS]]/Tabla3[[#This Row],[TC]]</f>
        <v>0</v>
      </c>
      <c r="L146" s="8" t="s">
        <v>303</v>
      </c>
      <c r="M146" s="8" t="s">
        <v>304</v>
      </c>
      <c r="N146" s="8" t="s">
        <v>25</v>
      </c>
      <c r="O146" s="8" t="s">
        <v>184</v>
      </c>
      <c r="P146" s="8" t="s">
        <v>187</v>
      </c>
      <c r="Q146" s="8" t="s">
        <v>188</v>
      </c>
      <c r="R146" s="8" t="s">
        <v>308</v>
      </c>
      <c r="S146" s="8"/>
      <c r="T146" s="8"/>
      <c r="U146" s="8" t="s">
        <v>261</v>
      </c>
      <c r="V146" s="8"/>
      <c r="W146" s="8" t="s">
        <v>392</v>
      </c>
      <c r="X146" s="8" t="s">
        <v>98</v>
      </c>
      <c r="Y146" s="8" t="s">
        <v>23</v>
      </c>
    </row>
    <row r="147" spans="1:25" s="7" customFormat="1" hidden="1" x14ac:dyDescent="0.25">
      <c r="A147" s="283" t="s">
        <v>725</v>
      </c>
      <c r="B147" s="260">
        <v>45838</v>
      </c>
      <c r="C147" s="261" t="s">
        <v>362</v>
      </c>
      <c r="D147" s="261"/>
      <c r="E147" s="262">
        <v>1536.31</v>
      </c>
      <c r="F147" s="262">
        <v>0</v>
      </c>
      <c r="G147" s="285">
        <f>Tabla3[[#This Row],[INGRESOS]]-Tabla3[[#This Row],[EGRESOS]]</f>
        <v>-1536.31</v>
      </c>
      <c r="H147" s="133"/>
      <c r="I147" s="135">
        <v>1197</v>
      </c>
      <c r="J147" s="136">
        <f>Tabla3[[#This Row],[EGRESOS]]/Tabla3[[#This Row],[TC]]</f>
        <v>1.2834670008354219</v>
      </c>
      <c r="K147" s="136">
        <f>Tabla3[[#This Row],[INGRESOS]]/Tabla3[[#This Row],[TC]]</f>
        <v>0</v>
      </c>
      <c r="L147" s="8" t="s">
        <v>303</v>
      </c>
      <c r="M147" s="8" t="s">
        <v>304</v>
      </c>
      <c r="N147" s="8" t="s">
        <v>25</v>
      </c>
      <c r="O147" s="8" t="s">
        <v>184</v>
      </c>
      <c r="P147" s="8" t="s">
        <v>187</v>
      </c>
      <c r="Q147" s="8" t="s">
        <v>188</v>
      </c>
      <c r="R147" s="8" t="s">
        <v>308</v>
      </c>
      <c r="S147" s="8"/>
      <c r="T147" s="8"/>
      <c r="U147" s="8" t="s">
        <v>261</v>
      </c>
      <c r="V147" s="8"/>
      <c r="W147" s="8" t="s">
        <v>392</v>
      </c>
      <c r="X147" s="8" t="s">
        <v>98</v>
      </c>
      <c r="Y147" s="8" t="s">
        <v>23</v>
      </c>
    </row>
    <row r="148" spans="1:25" s="7" customFormat="1" hidden="1" x14ac:dyDescent="0.25">
      <c r="A148" s="283" t="s">
        <v>725</v>
      </c>
      <c r="B148" s="260">
        <v>45838</v>
      </c>
      <c r="C148" s="261" t="s">
        <v>369</v>
      </c>
      <c r="D148" s="261"/>
      <c r="E148" s="262">
        <v>183045.4</v>
      </c>
      <c r="F148" s="262">
        <v>0</v>
      </c>
      <c r="G148" s="285">
        <f>Tabla3[[#This Row],[INGRESOS]]-Tabla3[[#This Row],[EGRESOS]]</f>
        <v>-183045.4</v>
      </c>
      <c r="H148" s="133"/>
      <c r="I148" s="135">
        <v>1198</v>
      </c>
      <c r="J148" s="136">
        <f>Tabla3[[#This Row],[EGRESOS]]/Tabla3[[#This Row],[TC]]</f>
        <v>152.79248747913189</v>
      </c>
      <c r="K148" s="136">
        <f>Tabla3[[#This Row],[INGRESOS]]/Tabla3[[#This Row],[TC]]</f>
        <v>0</v>
      </c>
      <c r="L148" s="8" t="s">
        <v>303</v>
      </c>
      <c r="M148" s="8" t="s">
        <v>304</v>
      </c>
      <c r="N148" s="8" t="s">
        <v>25</v>
      </c>
      <c r="O148" s="8" t="s">
        <v>184</v>
      </c>
      <c r="P148" s="8" t="s">
        <v>189</v>
      </c>
      <c r="Q148" s="8" t="s">
        <v>190</v>
      </c>
      <c r="R148" s="8"/>
      <c r="S148" s="8"/>
      <c r="T148" s="8"/>
      <c r="U148" s="8" t="s">
        <v>261</v>
      </c>
      <c r="V148" s="8"/>
      <c r="W148" s="8" t="s">
        <v>392</v>
      </c>
      <c r="X148" s="8" t="s">
        <v>98</v>
      </c>
      <c r="Y148" s="8" t="s">
        <v>23</v>
      </c>
    </row>
    <row r="149" spans="1:25" s="7" customFormat="1" hidden="1" x14ac:dyDescent="0.25">
      <c r="A149" s="277" t="s">
        <v>725</v>
      </c>
      <c r="B149" s="278">
        <v>45838</v>
      </c>
      <c r="C149" s="279" t="s">
        <v>367</v>
      </c>
      <c r="D149" s="279"/>
      <c r="E149" s="280">
        <v>2745.68</v>
      </c>
      <c r="F149" s="280">
        <v>0</v>
      </c>
      <c r="G149" s="353">
        <f>Tabla3[[#This Row],[INGRESOS]]-Tabla3[[#This Row],[EGRESOS]]</f>
        <v>-2745.68</v>
      </c>
      <c r="H149" s="134">
        <v>153296.48000000001</v>
      </c>
      <c r="I149" s="275">
        <v>1199</v>
      </c>
      <c r="J149" s="281">
        <f>Tabla3[[#This Row],[EGRESOS]]/Tabla3[[#This Row],[TC]]</f>
        <v>2.2899749791492909</v>
      </c>
      <c r="K149" s="281">
        <f>Tabla3[[#This Row],[INGRESOS]]/Tabla3[[#This Row],[TC]]</f>
        <v>0</v>
      </c>
      <c r="L149" s="282" t="s">
        <v>303</v>
      </c>
      <c r="M149" s="282" t="s">
        <v>304</v>
      </c>
      <c r="N149" s="282" t="s">
        <v>25</v>
      </c>
      <c r="O149" s="282" t="s">
        <v>184</v>
      </c>
      <c r="P149" s="282" t="s">
        <v>187</v>
      </c>
      <c r="Q149" s="282" t="s">
        <v>188</v>
      </c>
      <c r="R149" s="282" t="s">
        <v>475</v>
      </c>
      <c r="S149" s="282"/>
      <c r="T149" s="282"/>
      <c r="U149" s="282" t="s">
        <v>261</v>
      </c>
      <c r="V149" s="282"/>
      <c r="W149" s="282" t="s">
        <v>392</v>
      </c>
      <c r="X149" s="282" t="s">
        <v>98</v>
      </c>
      <c r="Y149" s="282" t="s">
        <v>23</v>
      </c>
    </row>
    <row r="150" spans="1:25" s="7" customFormat="1" hidden="1" x14ac:dyDescent="0.25">
      <c r="A150" s="277" t="s">
        <v>725</v>
      </c>
      <c r="B150" s="278">
        <v>45863</v>
      </c>
      <c r="C150" s="279" t="s">
        <v>362</v>
      </c>
      <c r="D150" s="279"/>
      <c r="E150" s="280">
        <v>22144</v>
      </c>
      <c r="F150" s="280">
        <v>0</v>
      </c>
      <c r="G150" s="353">
        <f>Tabla3[[#This Row],[INGRESOS]]-Tabla3[[#This Row],[EGRESOS]]</f>
        <v>-22144</v>
      </c>
      <c r="H150" s="134"/>
      <c r="I150" s="275">
        <v>1200</v>
      </c>
      <c r="J150" s="281">
        <f>Tabla3[[#This Row],[EGRESOS]]/Tabla3[[#This Row],[TC]]</f>
        <v>18.453333333333333</v>
      </c>
      <c r="K150" s="281">
        <f>Tabla3[[#This Row],[INGRESOS]]/Tabla3[[#This Row],[TC]]</f>
        <v>0</v>
      </c>
      <c r="L150" s="282" t="s">
        <v>303</v>
      </c>
      <c r="M150" s="282" t="s">
        <v>304</v>
      </c>
      <c r="N150" s="282" t="s">
        <v>25</v>
      </c>
      <c r="O150" s="282" t="s">
        <v>184</v>
      </c>
      <c r="P150" s="282" t="s">
        <v>187</v>
      </c>
      <c r="Q150" s="282" t="s">
        <v>188</v>
      </c>
      <c r="R150" s="282" t="s">
        <v>308</v>
      </c>
      <c r="S150" s="282"/>
      <c r="T150" s="282"/>
      <c r="U150" s="282" t="s">
        <v>261</v>
      </c>
      <c r="V150" s="282"/>
      <c r="W150" s="282" t="s">
        <v>392</v>
      </c>
      <c r="X150" s="282" t="s">
        <v>98</v>
      </c>
      <c r="Y150" s="282" t="s">
        <v>23</v>
      </c>
    </row>
    <row r="151" spans="1:25" s="7" customFormat="1" hidden="1" x14ac:dyDescent="0.25">
      <c r="A151" s="277" t="s">
        <v>725</v>
      </c>
      <c r="B151" s="278">
        <v>45863</v>
      </c>
      <c r="C151" s="279" t="s">
        <v>1034</v>
      </c>
      <c r="D151" s="279"/>
      <c r="E151" s="280">
        <v>0</v>
      </c>
      <c r="F151" s="280">
        <v>3600000</v>
      </c>
      <c r="G151" s="353">
        <f>Tabla3[[#This Row],[INGRESOS]]-Tabla3[[#This Row],[EGRESOS]]</f>
        <v>3600000</v>
      </c>
      <c r="H151" s="134"/>
      <c r="I151" s="275">
        <v>1201</v>
      </c>
      <c r="J151" s="281">
        <f>Tabla3[[#This Row],[EGRESOS]]/Tabla3[[#This Row],[TC]]</f>
        <v>0</v>
      </c>
      <c r="K151" s="281">
        <f>Tabla3[[#This Row],[INGRESOS]]/Tabla3[[#This Row],[TC]]</f>
        <v>2997.5020815986677</v>
      </c>
      <c r="L151" s="282" t="s">
        <v>303</v>
      </c>
      <c r="M151" s="282" t="s">
        <v>304</v>
      </c>
      <c r="N151" s="282" t="s">
        <v>25</v>
      </c>
      <c r="O151" s="282" t="s">
        <v>214</v>
      </c>
      <c r="P151" s="282" t="s">
        <v>216</v>
      </c>
      <c r="Q151" s="282" t="s">
        <v>217</v>
      </c>
      <c r="R151" s="282" t="s">
        <v>388</v>
      </c>
      <c r="S151" s="282"/>
      <c r="T151" s="282"/>
      <c r="U151" s="282" t="s">
        <v>262</v>
      </c>
      <c r="V151" s="282"/>
      <c r="W151" s="282" t="s">
        <v>306</v>
      </c>
      <c r="X151" s="282"/>
      <c r="Y151" s="282"/>
    </row>
    <row r="152" spans="1:25" s="7" customFormat="1" hidden="1" x14ac:dyDescent="0.25">
      <c r="A152" s="277" t="s">
        <v>725</v>
      </c>
      <c r="B152" s="278">
        <v>45863</v>
      </c>
      <c r="C152" s="279" t="s">
        <v>366</v>
      </c>
      <c r="D152" s="279"/>
      <c r="E152" s="280">
        <v>3690666.26</v>
      </c>
      <c r="F152" s="280">
        <v>0</v>
      </c>
      <c r="G152" s="353">
        <f>Tabla3[[#This Row],[INGRESOS]]-Tabla3[[#This Row],[EGRESOS]]</f>
        <v>-3690666.26</v>
      </c>
      <c r="H152" s="134"/>
      <c r="I152" s="275">
        <v>1202</v>
      </c>
      <c r="J152" s="281">
        <f>Tabla3[[#This Row],[EGRESOS]]/Tabla3[[#This Row],[TC]]</f>
        <v>3070.4378202995008</v>
      </c>
      <c r="K152" s="281">
        <f>Tabla3[[#This Row],[INGRESOS]]/Tabla3[[#This Row],[TC]]</f>
        <v>0</v>
      </c>
      <c r="L152" s="282" t="s">
        <v>303</v>
      </c>
      <c r="M152" s="282" t="s">
        <v>304</v>
      </c>
      <c r="N152" s="282" t="s">
        <v>25</v>
      </c>
      <c r="O152" s="282" t="s">
        <v>214</v>
      </c>
      <c r="P152" s="282" t="s">
        <v>38</v>
      </c>
      <c r="Q152" s="282" t="s">
        <v>1035</v>
      </c>
      <c r="R152" s="282" t="s">
        <v>802</v>
      </c>
      <c r="S152" s="282"/>
      <c r="T152" s="282"/>
      <c r="U152" s="282" t="s">
        <v>275</v>
      </c>
      <c r="V152" s="282"/>
      <c r="W152" s="282" t="s">
        <v>306</v>
      </c>
      <c r="X152" s="282" t="s">
        <v>91</v>
      </c>
      <c r="Y152" s="282" t="s">
        <v>23</v>
      </c>
    </row>
    <row r="153" spans="1:25" s="7" customFormat="1" hidden="1" x14ac:dyDescent="0.25">
      <c r="A153" s="277" t="s">
        <v>725</v>
      </c>
      <c r="B153" s="278">
        <v>45869</v>
      </c>
      <c r="C153" s="279" t="s">
        <v>1034</v>
      </c>
      <c r="D153" s="279"/>
      <c r="E153" s="280">
        <v>0</v>
      </c>
      <c r="F153" s="280">
        <v>8000000</v>
      </c>
      <c r="G153" s="353">
        <f>Tabla3[[#This Row],[INGRESOS]]-Tabla3[[#This Row],[EGRESOS]]</f>
        <v>8000000</v>
      </c>
      <c r="H153" s="134"/>
      <c r="I153" s="275">
        <v>1203</v>
      </c>
      <c r="J153" s="281">
        <f>Tabla3[[#This Row],[EGRESOS]]/Tabla3[[#This Row],[TC]]</f>
        <v>0</v>
      </c>
      <c r="K153" s="281">
        <f>Tabla3[[#This Row],[INGRESOS]]/Tabla3[[#This Row],[TC]]</f>
        <v>6650.0415627597677</v>
      </c>
      <c r="L153" s="282" t="s">
        <v>303</v>
      </c>
      <c r="M153" s="282" t="s">
        <v>304</v>
      </c>
      <c r="N153" s="282" t="s">
        <v>25</v>
      </c>
      <c r="O153" s="282" t="s">
        <v>214</v>
      </c>
      <c r="P153" s="282" t="s">
        <v>216</v>
      </c>
      <c r="Q153" s="282" t="s">
        <v>217</v>
      </c>
      <c r="R153" s="282" t="s">
        <v>388</v>
      </c>
      <c r="S153" s="282"/>
      <c r="T153" s="282"/>
      <c r="U153" s="282" t="s">
        <v>262</v>
      </c>
      <c r="V153" s="282"/>
      <c r="W153" s="282" t="s">
        <v>306</v>
      </c>
      <c r="X153" s="282"/>
      <c r="Y153" s="282"/>
    </row>
    <row r="154" spans="1:25" s="7" customFormat="1" hidden="1" x14ac:dyDescent="0.25">
      <c r="A154" s="277" t="s">
        <v>725</v>
      </c>
      <c r="B154" s="278">
        <v>45869</v>
      </c>
      <c r="C154" s="279" t="s">
        <v>915</v>
      </c>
      <c r="D154" s="279"/>
      <c r="E154" s="280">
        <v>8000000</v>
      </c>
      <c r="F154" s="280">
        <v>0</v>
      </c>
      <c r="G154" s="353">
        <f>Tabla3[[#This Row],[INGRESOS]]-Tabla3[[#This Row],[EGRESOS]]</f>
        <v>-8000000</v>
      </c>
      <c r="H154" s="134"/>
      <c r="I154" s="275">
        <v>1204</v>
      </c>
      <c r="J154" s="281">
        <f>Tabla3[[#This Row],[EGRESOS]]/Tabla3[[#This Row],[TC]]</f>
        <v>6644.5182724252491</v>
      </c>
      <c r="K154" s="281">
        <f>Tabla3[[#This Row],[INGRESOS]]/Tabla3[[#This Row],[TC]]</f>
        <v>0</v>
      </c>
      <c r="L154" s="282" t="s">
        <v>303</v>
      </c>
      <c r="M154" s="282" t="s">
        <v>304</v>
      </c>
      <c r="N154" s="282" t="s">
        <v>25</v>
      </c>
      <c r="O154" s="282" t="s">
        <v>214</v>
      </c>
      <c r="P154" s="282" t="s">
        <v>216</v>
      </c>
      <c r="Q154" s="282" t="s">
        <v>217</v>
      </c>
      <c r="R154" s="282" t="s">
        <v>305</v>
      </c>
      <c r="S154" s="282"/>
      <c r="T154" s="282"/>
      <c r="U154" s="282" t="s">
        <v>262</v>
      </c>
      <c r="V154" s="282"/>
      <c r="W154" s="282" t="s">
        <v>306</v>
      </c>
      <c r="X154" s="282"/>
      <c r="Y154" s="282"/>
    </row>
    <row r="155" spans="1:25" hidden="1" x14ac:dyDescent="0.25">
      <c r="A155" s="256" t="s">
        <v>183</v>
      </c>
      <c r="B155" s="257">
        <v>45659</v>
      </c>
      <c r="C155" s="250" t="s">
        <v>389</v>
      </c>
      <c r="D155" s="250"/>
      <c r="E155" s="258">
        <v>1830361.64</v>
      </c>
      <c r="F155" s="258">
        <v>0</v>
      </c>
      <c r="G155" s="276">
        <f>Tabla3[[#This Row],[INGRESOS]]-Tabla3[[#This Row],[EGRESOS]]</f>
        <v>-1830361.64</v>
      </c>
      <c r="H155" s="132"/>
      <c r="I155" s="135">
        <v>1140</v>
      </c>
      <c r="J155" s="136">
        <f>Tabla3[[#This Row],[EGRESOS]]/Tabla3[[#This Row],[TC]]</f>
        <v>1605.5803859649122</v>
      </c>
      <c r="K155" s="136">
        <f>Tabla3[[#This Row],[INGRESOS]]/Tabla3[[#This Row],[TC]]</f>
        <v>0</v>
      </c>
      <c r="L155" s="8" t="s">
        <v>303</v>
      </c>
      <c r="M155" s="8" t="s">
        <v>304</v>
      </c>
      <c r="N155" s="7" t="s">
        <v>30</v>
      </c>
      <c r="O155" s="7" t="s">
        <v>214</v>
      </c>
      <c r="P155" s="7" t="s">
        <v>38</v>
      </c>
      <c r="Q155" s="7" t="s">
        <v>215</v>
      </c>
      <c r="R155" s="7" t="s">
        <v>390</v>
      </c>
      <c r="S155" s="7"/>
      <c r="T155" s="7"/>
      <c r="U155" s="7" t="s">
        <v>263</v>
      </c>
      <c r="V155" s="7"/>
      <c r="W155" s="7" t="s">
        <v>355</v>
      </c>
      <c r="X155" s="7" t="s">
        <v>38</v>
      </c>
      <c r="Y155" s="7" t="s">
        <v>23</v>
      </c>
    </row>
    <row r="156" spans="1:25" hidden="1" x14ac:dyDescent="0.25">
      <c r="A156" s="256" t="s">
        <v>183</v>
      </c>
      <c r="B156" s="257">
        <v>45659</v>
      </c>
      <c r="C156" s="250" t="s">
        <v>391</v>
      </c>
      <c r="D156" s="250"/>
      <c r="E156" s="258">
        <v>23400</v>
      </c>
      <c r="F156" s="258">
        <v>0</v>
      </c>
      <c r="G156" s="276">
        <f>Tabla3[[#This Row],[INGRESOS]]-Tabla3[[#This Row],[EGRESOS]]</f>
        <v>-23400</v>
      </c>
      <c r="H156" s="132"/>
      <c r="I156" s="119">
        <v>1140</v>
      </c>
      <c r="J156" s="99">
        <f>Tabla3[[#This Row],[EGRESOS]]/Tabla3[[#This Row],[TC]]</f>
        <v>20.526315789473685</v>
      </c>
      <c r="K156" s="99">
        <f>Tabla3[[#This Row],[INGRESOS]]/Tabla3[[#This Row],[TC]]</f>
        <v>0</v>
      </c>
      <c r="L156" s="7" t="s">
        <v>303</v>
      </c>
      <c r="M156" s="7" t="s">
        <v>304</v>
      </c>
      <c r="N156" s="7" t="s">
        <v>30</v>
      </c>
      <c r="O156" s="7" t="s">
        <v>184</v>
      </c>
      <c r="P156" s="7" t="s">
        <v>185</v>
      </c>
      <c r="Q156" s="7" t="s">
        <v>186</v>
      </c>
      <c r="R156" s="7"/>
      <c r="S156" s="7"/>
      <c r="T156" s="7"/>
      <c r="U156" s="7" t="s">
        <v>261</v>
      </c>
      <c r="V156" s="7"/>
      <c r="W156" s="7" t="s">
        <v>392</v>
      </c>
      <c r="X156" s="7" t="s">
        <v>98</v>
      </c>
      <c r="Y156" s="7" t="s">
        <v>23</v>
      </c>
    </row>
    <row r="157" spans="1:25" hidden="1" x14ac:dyDescent="0.25">
      <c r="A157" s="256" t="s">
        <v>183</v>
      </c>
      <c r="B157" s="257">
        <v>45659</v>
      </c>
      <c r="C157" s="250" t="s">
        <v>393</v>
      </c>
      <c r="D157" s="250"/>
      <c r="E157" s="258">
        <v>4914</v>
      </c>
      <c r="F157" s="258">
        <v>0</v>
      </c>
      <c r="G157" s="276">
        <f>Tabla3[[#This Row],[INGRESOS]]-Tabla3[[#This Row],[EGRESOS]]</f>
        <v>-4914</v>
      </c>
      <c r="H157" s="132"/>
      <c r="I157" s="119">
        <v>1140</v>
      </c>
      <c r="J157" s="99">
        <f>Tabla3[[#This Row],[EGRESOS]]/Tabla3[[#This Row],[TC]]</f>
        <v>4.310526315789474</v>
      </c>
      <c r="K157" s="99">
        <f>Tabla3[[#This Row],[INGRESOS]]/Tabla3[[#This Row],[TC]]</f>
        <v>0</v>
      </c>
      <c r="L157" s="7" t="s">
        <v>303</v>
      </c>
      <c r="M157" s="7" t="s">
        <v>304</v>
      </c>
      <c r="N157" s="7" t="s">
        <v>30</v>
      </c>
      <c r="O157" s="7" t="s">
        <v>184</v>
      </c>
      <c r="P157" s="7" t="s">
        <v>187</v>
      </c>
      <c r="Q157" s="7" t="s">
        <v>188</v>
      </c>
      <c r="R157" s="7" t="s">
        <v>308</v>
      </c>
      <c r="S157" s="7"/>
      <c r="T157" s="7"/>
      <c r="U157" s="7" t="s">
        <v>261</v>
      </c>
      <c r="V157" s="7"/>
      <c r="W157" s="7" t="s">
        <v>392</v>
      </c>
      <c r="X157" s="7" t="s">
        <v>98</v>
      </c>
      <c r="Y157" s="7" t="s">
        <v>23</v>
      </c>
    </row>
    <row r="158" spans="1:25" hidden="1" x14ac:dyDescent="0.25">
      <c r="A158" s="256" t="s">
        <v>183</v>
      </c>
      <c r="B158" s="257">
        <v>45659</v>
      </c>
      <c r="C158" s="250" t="s">
        <v>394</v>
      </c>
      <c r="D158" s="250"/>
      <c r="E158" s="258">
        <v>702</v>
      </c>
      <c r="F158" s="258">
        <v>0</v>
      </c>
      <c r="G158" s="276">
        <f>Tabla3[[#This Row],[INGRESOS]]-Tabla3[[#This Row],[EGRESOS]]</f>
        <v>-702</v>
      </c>
      <c r="H158" s="132"/>
      <c r="I158" s="119">
        <v>1140</v>
      </c>
      <c r="J158" s="99">
        <f>Tabla3[[#This Row],[EGRESOS]]/Tabla3[[#This Row],[TC]]</f>
        <v>0.61578947368421055</v>
      </c>
      <c r="K158" s="99">
        <f>Tabla3[[#This Row],[INGRESOS]]/Tabla3[[#This Row],[TC]]</f>
        <v>0</v>
      </c>
      <c r="L158" s="7" t="s">
        <v>303</v>
      </c>
      <c r="M158" s="7" t="s">
        <v>304</v>
      </c>
      <c r="N158" s="7" t="s">
        <v>30</v>
      </c>
      <c r="O158" s="7" t="s">
        <v>184</v>
      </c>
      <c r="P158" s="7" t="s">
        <v>187</v>
      </c>
      <c r="Q158" s="7" t="s">
        <v>188</v>
      </c>
      <c r="R158" s="7" t="s">
        <v>395</v>
      </c>
      <c r="S158" s="7"/>
      <c r="T158" s="7"/>
      <c r="U158" s="7" t="s">
        <v>261</v>
      </c>
      <c r="V158" s="7"/>
      <c r="W158" s="7" t="s">
        <v>392</v>
      </c>
      <c r="X158" s="7" t="s">
        <v>98</v>
      </c>
      <c r="Y158" s="7" t="s">
        <v>23</v>
      </c>
    </row>
    <row r="159" spans="1:25" hidden="1" x14ac:dyDescent="0.25">
      <c r="A159" s="256" t="s">
        <v>183</v>
      </c>
      <c r="B159" s="257">
        <v>45659</v>
      </c>
      <c r="C159" s="250" t="s">
        <v>396</v>
      </c>
      <c r="D159" s="250"/>
      <c r="E159" s="258">
        <v>10982.17</v>
      </c>
      <c r="F159" s="258">
        <v>0</v>
      </c>
      <c r="G159" s="276">
        <f>Tabla3[[#This Row],[INGRESOS]]-Tabla3[[#This Row],[EGRESOS]]</f>
        <v>-10982.17</v>
      </c>
      <c r="H159" s="132"/>
      <c r="I159" s="119">
        <v>1140</v>
      </c>
      <c r="J159" s="99">
        <f>Tabla3[[#This Row],[EGRESOS]]/Tabla3[[#This Row],[TC]]</f>
        <v>9.6334824561403511</v>
      </c>
      <c r="K159" s="99">
        <f>Tabla3[[#This Row],[INGRESOS]]/Tabla3[[#This Row],[TC]]</f>
        <v>0</v>
      </c>
      <c r="L159" s="7" t="s">
        <v>303</v>
      </c>
      <c r="M159" s="7" t="s">
        <v>304</v>
      </c>
      <c r="N159" s="7" t="s">
        <v>30</v>
      </c>
      <c r="O159" s="7" t="s">
        <v>184</v>
      </c>
      <c r="P159" s="7" t="s">
        <v>187</v>
      </c>
      <c r="Q159" s="7" t="s">
        <v>188</v>
      </c>
      <c r="R159" s="7" t="s">
        <v>317</v>
      </c>
      <c r="S159" s="7"/>
      <c r="T159" s="7"/>
      <c r="U159" s="7" t="s">
        <v>261</v>
      </c>
      <c r="V159" s="7"/>
      <c r="W159" s="7" t="s">
        <v>392</v>
      </c>
      <c r="X159" s="7" t="s">
        <v>98</v>
      </c>
      <c r="Y159" s="7" t="s">
        <v>23</v>
      </c>
    </row>
    <row r="160" spans="1:25" ht="15.75" hidden="1" x14ac:dyDescent="0.25">
      <c r="A160" s="256" t="s">
        <v>183</v>
      </c>
      <c r="B160" s="257">
        <v>45659</v>
      </c>
      <c r="C160" s="250" t="s">
        <v>396</v>
      </c>
      <c r="D160" s="250"/>
      <c r="E160" s="258">
        <v>140.4</v>
      </c>
      <c r="F160" s="258">
        <v>0</v>
      </c>
      <c r="G160" s="276">
        <f>Tabla3[[#This Row],[INGRESOS]]-Tabla3[[#This Row],[EGRESOS]]</f>
        <v>-140.4</v>
      </c>
      <c r="H160" s="357"/>
      <c r="I160" s="119">
        <v>1140</v>
      </c>
      <c r="J160" s="99">
        <f>Tabla3[[#This Row],[EGRESOS]]/Tabla3[[#This Row],[TC]]</f>
        <v>0.12315789473684211</v>
      </c>
      <c r="K160" s="99">
        <f>Tabla3[[#This Row],[INGRESOS]]/Tabla3[[#This Row],[TC]]</f>
        <v>0</v>
      </c>
      <c r="L160" s="7" t="s">
        <v>303</v>
      </c>
      <c r="M160" s="7" t="s">
        <v>304</v>
      </c>
      <c r="N160" s="7" t="s">
        <v>30</v>
      </c>
      <c r="O160" s="7" t="s">
        <v>184</v>
      </c>
      <c r="P160" s="7" t="s">
        <v>187</v>
      </c>
      <c r="Q160" s="7" t="s">
        <v>188</v>
      </c>
      <c r="R160" s="7" t="s">
        <v>317</v>
      </c>
      <c r="S160" s="7"/>
      <c r="T160" s="7"/>
      <c r="U160" s="7" t="s">
        <v>261</v>
      </c>
      <c r="V160" s="7"/>
      <c r="W160" s="7" t="s">
        <v>392</v>
      </c>
      <c r="X160" s="7" t="s">
        <v>98</v>
      </c>
      <c r="Y160" s="7" t="s">
        <v>23</v>
      </c>
    </row>
    <row r="161" spans="1:25" hidden="1" x14ac:dyDescent="0.25">
      <c r="A161" s="256" t="s">
        <v>183</v>
      </c>
      <c r="B161" s="257">
        <v>45659</v>
      </c>
      <c r="C161" s="250" t="s">
        <v>396</v>
      </c>
      <c r="D161" s="250"/>
      <c r="E161" s="258">
        <v>29.48</v>
      </c>
      <c r="F161" s="258">
        <v>0</v>
      </c>
      <c r="G161" s="276">
        <f>Tabla3[[#This Row],[INGRESOS]]-Tabla3[[#This Row],[EGRESOS]]</f>
        <v>-29.48</v>
      </c>
      <c r="H161" s="132"/>
      <c r="I161" s="119">
        <v>1140</v>
      </c>
      <c r="J161" s="99">
        <f>Tabla3[[#This Row],[EGRESOS]]/Tabla3[[#This Row],[TC]]</f>
        <v>2.5859649122807016E-2</v>
      </c>
      <c r="K161" s="99">
        <f>Tabla3[[#This Row],[INGRESOS]]/Tabla3[[#This Row],[TC]]</f>
        <v>0</v>
      </c>
      <c r="L161" s="7" t="s">
        <v>303</v>
      </c>
      <c r="M161" s="7" t="s">
        <v>304</v>
      </c>
      <c r="N161" s="7" t="s">
        <v>30</v>
      </c>
      <c r="O161" s="7" t="s">
        <v>184</v>
      </c>
      <c r="P161" s="7" t="s">
        <v>187</v>
      </c>
      <c r="Q161" s="7" t="s">
        <v>188</v>
      </c>
      <c r="R161" s="7" t="s">
        <v>317</v>
      </c>
      <c r="S161" s="7"/>
      <c r="T161" s="7"/>
      <c r="U161" s="7" t="s">
        <v>261</v>
      </c>
      <c r="V161" s="7"/>
      <c r="W161" s="7" t="s">
        <v>392</v>
      </c>
      <c r="X161" s="7" t="s">
        <v>98</v>
      </c>
      <c r="Y161" s="7" t="s">
        <v>23</v>
      </c>
    </row>
    <row r="162" spans="1:25" hidden="1" x14ac:dyDescent="0.25">
      <c r="A162" s="256" t="s">
        <v>183</v>
      </c>
      <c r="B162" s="257">
        <v>45659</v>
      </c>
      <c r="C162" s="250" t="s">
        <v>396</v>
      </c>
      <c r="D162" s="250"/>
      <c r="E162" s="258">
        <v>4.21</v>
      </c>
      <c r="F162" s="258">
        <v>0</v>
      </c>
      <c r="G162" s="276">
        <f>Tabla3[[#This Row],[INGRESOS]]-Tabla3[[#This Row],[EGRESOS]]</f>
        <v>-4.21</v>
      </c>
      <c r="H162" s="132"/>
      <c r="I162" s="119">
        <v>1140</v>
      </c>
      <c r="J162" s="99">
        <f>Tabla3[[#This Row],[EGRESOS]]/Tabla3[[#This Row],[TC]]</f>
        <v>3.6929824561403508E-3</v>
      </c>
      <c r="K162" s="99">
        <f>Tabla3[[#This Row],[INGRESOS]]/Tabla3[[#This Row],[TC]]</f>
        <v>0</v>
      </c>
      <c r="L162" s="7" t="s">
        <v>303</v>
      </c>
      <c r="M162" s="7" t="s">
        <v>304</v>
      </c>
      <c r="N162" s="7" t="s">
        <v>30</v>
      </c>
      <c r="O162" s="7" t="s">
        <v>184</v>
      </c>
      <c r="P162" s="7" t="s">
        <v>187</v>
      </c>
      <c r="Q162" s="7" t="s">
        <v>188</v>
      </c>
      <c r="R162" s="7" t="s">
        <v>317</v>
      </c>
      <c r="S162" s="7"/>
      <c r="T162" s="7"/>
      <c r="U162" s="7" t="s">
        <v>261</v>
      </c>
      <c r="V162" s="7"/>
      <c r="W162" s="7" t="s">
        <v>392</v>
      </c>
      <c r="X162" s="7" t="s">
        <v>98</v>
      </c>
      <c r="Y162" s="7" t="s">
        <v>23</v>
      </c>
    </row>
    <row r="163" spans="1:25" x14ac:dyDescent="0.25">
      <c r="A163" s="256" t="s">
        <v>183</v>
      </c>
      <c r="B163" s="257">
        <v>45678</v>
      </c>
      <c r="C163" s="250" t="s">
        <v>397</v>
      </c>
      <c r="D163" s="250"/>
      <c r="E163" s="258">
        <v>534221</v>
      </c>
      <c r="F163" s="258">
        <v>0</v>
      </c>
      <c r="G163" s="276">
        <f>Tabla3[[#This Row],[INGRESOS]]-Tabla3[[#This Row],[EGRESOS]]</f>
        <v>-534221</v>
      </c>
      <c r="H163" s="134"/>
      <c r="I163" s="119">
        <v>1140</v>
      </c>
      <c r="J163" s="99">
        <f>Tabla3[[#This Row],[EGRESOS]]/Tabla3[[#This Row],[TC]]</f>
        <v>468.61491228070173</v>
      </c>
      <c r="K163" s="99">
        <f>Tabla3[[#This Row],[INGRESOS]]/Tabla3[[#This Row],[TC]]</f>
        <v>0</v>
      </c>
      <c r="L163" s="7" t="s">
        <v>303</v>
      </c>
      <c r="M163" s="7" t="s">
        <v>304</v>
      </c>
      <c r="N163" s="7" t="s">
        <v>30</v>
      </c>
      <c r="O163" s="7" t="s">
        <v>742</v>
      </c>
      <c r="P163" s="7" t="s">
        <v>220</v>
      </c>
      <c r="Q163" s="7" t="s">
        <v>222</v>
      </c>
      <c r="R163" s="7" t="s">
        <v>142</v>
      </c>
      <c r="S163" s="7" t="s">
        <v>398</v>
      </c>
      <c r="T163" s="358" t="s">
        <v>399</v>
      </c>
      <c r="U163" s="7" t="s">
        <v>257</v>
      </c>
      <c r="V163" s="7"/>
      <c r="W163" s="7" t="s">
        <v>392</v>
      </c>
      <c r="X163" s="7" t="s">
        <v>29</v>
      </c>
      <c r="Y163" s="7" t="s">
        <v>23</v>
      </c>
    </row>
    <row r="164" spans="1:25" hidden="1" x14ac:dyDescent="0.25">
      <c r="A164" s="256" t="s">
        <v>183</v>
      </c>
      <c r="B164" s="257">
        <v>45678</v>
      </c>
      <c r="C164" s="250" t="s">
        <v>396</v>
      </c>
      <c r="D164" s="250"/>
      <c r="E164" s="258">
        <v>3205.33</v>
      </c>
      <c r="F164" s="258">
        <v>0</v>
      </c>
      <c r="G164" s="276">
        <f>Tabla3[[#This Row],[INGRESOS]]-Tabla3[[#This Row],[EGRESOS]]</f>
        <v>-3205.33</v>
      </c>
      <c r="H164" s="137">
        <v>-2977642.19</v>
      </c>
      <c r="I164" s="119">
        <v>1140</v>
      </c>
      <c r="J164" s="99">
        <f>Tabla3[[#This Row],[EGRESOS]]/Tabla3[[#This Row],[TC]]</f>
        <v>2.8116929824561403</v>
      </c>
      <c r="K164" s="99">
        <f>Tabla3[[#This Row],[INGRESOS]]/Tabla3[[#This Row],[TC]]</f>
        <v>0</v>
      </c>
      <c r="L164" s="7" t="s">
        <v>303</v>
      </c>
      <c r="M164" s="7" t="s">
        <v>304</v>
      </c>
      <c r="N164" s="7" t="s">
        <v>30</v>
      </c>
      <c r="O164" s="7" t="s">
        <v>184</v>
      </c>
      <c r="P164" s="7" t="s">
        <v>187</v>
      </c>
      <c r="Q164" s="7" t="s">
        <v>188</v>
      </c>
      <c r="R164" s="7" t="s">
        <v>317</v>
      </c>
      <c r="S164" s="7"/>
      <c r="T164" s="7"/>
      <c r="U164" s="7" t="s">
        <v>261</v>
      </c>
      <c r="V164" s="7"/>
      <c r="W164" s="7" t="s">
        <v>392</v>
      </c>
      <c r="X164" s="7" t="s">
        <v>98</v>
      </c>
      <c r="Y164" s="7" t="s">
        <v>23</v>
      </c>
    </row>
    <row r="165" spans="1:25" hidden="1" x14ac:dyDescent="0.25">
      <c r="A165" s="256" t="s">
        <v>183</v>
      </c>
      <c r="B165" s="257">
        <v>45680</v>
      </c>
      <c r="C165" s="250" t="s">
        <v>323</v>
      </c>
      <c r="D165" s="250"/>
      <c r="E165" s="258">
        <v>0</v>
      </c>
      <c r="F165" s="258">
        <v>3000000</v>
      </c>
      <c r="G165" s="276">
        <f>Tabla3[[#This Row],[INGRESOS]]-Tabla3[[#This Row],[EGRESOS]]</f>
        <v>3000000</v>
      </c>
      <c r="H165" s="137">
        <v>19152.400000000001</v>
      </c>
      <c r="I165" s="135">
        <v>1140</v>
      </c>
      <c r="J165" s="136">
        <f>Tabla3[[#This Row],[EGRESOS]]/Tabla3[[#This Row],[TC]]</f>
        <v>0</v>
      </c>
      <c r="K165" s="136">
        <f>Tabla3[[#This Row],[INGRESOS]]/Tabla3[[#This Row],[TC]]</f>
        <v>2631.5789473684213</v>
      </c>
      <c r="L165" s="8" t="s">
        <v>303</v>
      </c>
      <c r="M165" s="8" t="s">
        <v>304</v>
      </c>
      <c r="N165" s="7" t="s">
        <v>30</v>
      </c>
      <c r="O165" s="7" t="s">
        <v>214</v>
      </c>
      <c r="P165" s="7" t="s">
        <v>216</v>
      </c>
      <c r="Q165" s="7" t="s">
        <v>217</v>
      </c>
      <c r="R165" s="7" t="s">
        <v>388</v>
      </c>
      <c r="S165" s="7"/>
      <c r="T165" s="7"/>
      <c r="U165" s="7" t="s">
        <v>262</v>
      </c>
      <c r="V165" s="7"/>
      <c r="W165" s="7" t="s">
        <v>306</v>
      </c>
      <c r="X165" s="7"/>
      <c r="Y165" s="7"/>
    </row>
    <row r="166" spans="1:25" hidden="1" x14ac:dyDescent="0.25">
      <c r="A166" s="256" t="s">
        <v>183</v>
      </c>
      <c r="B166" s="257">
        <v>45681</v>
      </c>
      <c r="C166" s="250" t="s">
        <v>400</v>
      </c>
      <c r="D166" s="250"/>
      <c r="E166" s="258">
        <v>1000000</v>
      </c>
      <c r="F166" s="258">
        <v>0</v>
      </c>
      <c r="G166" s="276">
        <f>Tabla3[[#This Row],[INGRESOS]]-Tabla3[[#This Row],[EGRESOS]]</f>
        <v>-1000000</v>
      </c>
      <c r="H166" s="134"/>
      <c r="I166" s="119">
        <v>1140</v>
      </c>
      <c r="J166" s="99">
        <f>Tabla3[[#This Row],[EGRESOS]]/Tabla3[[#This Row],[TC]]</f>
        <v>877.19298245614038</v>
      </c>
      <c r="K166" s="99">
        <f>Tabla3[[#This Row],[INGRESOS]]/Tabla3[[#This Row],[TC]]</f>
        <v>0</v>
      </c>
      <c r="L166" s="7" t="s">
        <v>303</v>
      </c>
      <c r="M166" s="7" t="s">
        <v>304</v>
      </c>
      <c r="N166" s="7" t="s">
        <v>30</v>
      </c>
      <c r="O166" s="7" t="s">
        <v>204</v>
      </c>
      <c r="P166" s="7" t="s">
        <v>205</v>
      </c>
      <c r="Q166" s="7" t="s">
        <v>206</v>
      </c>
      <c r="R166" s="7"/>
      <c r="S166" s="7" t="s">
        <v>401</v>
      </c>
      <c r="T166" s="7"/>
      <c r="U166" s="7" t="s">
        <v>260</v>
      </c>
      <c r="V166" s="7"/>
      <c r="W166" s="7" t="s">
        <v>306</v>
      </c>
      <c r="X166" s="7" t="s">
        <v>49</v>
      </c>
      <c r="Y166" s="7" t="s">
        <v>23</v>
      </c>
    </row>
    <row r="167" spans="1:25" hidden="1" x14ac:dyDescent="0.25">
      <c r="A167" s="256" t="s">
        <v>183</v>
      </c>
      <c r="B167" s="257">
        <v>45681</v>
      </c>
      <c r="C167" s="250" t="s">
        <v>400</v>
      </c>
      <c r="D167" s="250"/>
      <c r="E167" s="258">
        <v>700000</v>
      </c>
      <c r="F167" s="258">
        <v>0</v>
      </c>
      <c r="G167" s="276">
        <f>Tabla3[[#This Row],[INGRESOS]]-Tabla3[[#This Row],[EGRESOS]]</f>
        <v>-700000</v>
      </c>
      <c r="H167" s="134"/>
      <c r="I167" s="119">
        <v>1140</v>
      </c>
      <c r="J167" s="99">
        <f>Tabla3[[#This Row],[EGRESOS]]/Tabla3[[#This Row],[TC]]</f>
        <v>614.03508771929819</v>
      </c>
      <c r="K167" s="99">
        <f>Tabla3[[#This Row],[INGRESOS]]/Tabla3[[#This Row],[TC]]</f>
        <v>0</v>
      </c>
      <c r="L167" s="7" t="s">
        <v>303</v>
      </c>
      <c r="M167" s="7" t="s">
        <v>304</v>
      </c>
      <c r="N167" s="7" t="s">
        <v>30</v>
      </c>
      <c r="O167" s="7" t="s">
        <v>197</v>
      </c>
      <c r="P167" s="7" t="s">
        <v>198</v>
      </c>
      <c r="Q167" s="7" t="s">
        <v>201</v>
      </c>
      <c r="R167" s="7" t="s">
        <v>321</v>
      </c>
      <c r="S167" s="7" t="s">
        <v>322</v>
      </c>
      <c r="T167" s="7"/>
      <c r="U167" s="7" t="s">
        <v>260</v>
      </c>
      <c r="V167" s="7"/>
      <c r="W167" s="7" t="s">
        <v>306</v>
      </c>
      <c r="X167" s="7" t="s">
        <v>29</v>
      </c>
      <c r="Y167" s="7" t="s">
        <v>23</v>
      </c>
    </row>
    <row r="168" spans="1:25" hidden="1" x14ac:dyDescent="0.25">
      <c r="A168" s="256" t="s">
        <v>183</v>
      </c>
      <c r="B168" s="257">
        <v>45681</v>
      </c>
      <c r="C168" s="250" t="s">
        <v>400</v>
      </c>
      <c r="D168" s="250"/>
      <c r="E168" s="258">
        <v>23371.439999999999</v>
      </c>
      <c r="F168" s="258">
        <v>0</v>
      </c>
      <c r="G168" s="276">
        <f>Tabla3[[#This Row],[INGRESOS]]-Tabla3[[#This Row],[EGRESOS]]</f>
        <v>-23371.439999999999</v>
      </c>
      <c r="H168" s="134"/>
      <c r="I168" s="119">
        <v>1140</v>
      </c>
      <c r="J168" s="99">
        <f>Tabla3[[#This Row],[EGRESOS]]/Tabla3[[#This Row],[TC]]</f>
        <v>20.501263157894737</v>
      </c>
      <c r="K168" s="99">
        <f>Tabla3[[#This Row],[INGRESOS]]/Tabla3[[#This Row],[TC]]</f>
        <v>0</v>
      </c>
      <c r="L168" s="7" t="s">
        <v>303</v>
      </c>
      <c r="M168" s="7" t="s">
        <v>304</v>
      </c>
      <c r="N168" s="7" t="s">
        <v>30</v>
      </c>
      <c r="O168" s="7" t="s">
        <v>184</v>
      </c>
      <c r="P168" s="7" t="s">
        <v>191</v>
      </c>
      <c r="Q168" s="7" t="s">
        <v>193</v>
      </c>
      <c r="R168" s="7" t="s">
        <v>402</v>
      </c>
      <c r="S168" s="7" t="s">
        <v>313</v>
      </c>
      <c r="T168" s="7"/>
      <c r="U168" s="7" t="s">
        <v>266</v>
      </c>
      <c r="V168" s="7"/>
      <c r="W168" s="7" t="s">
        <v>306</v>
      </c>
      <c r="X168" s="7" t="s">
        <v>98</v>
      </c>
      <c r="Y168" s="7" t="s">
        <v>23</v>
      </c>
    </row>
    <row r="169" spans="1:25" hidden="1" x14ac:dyDescent="0.25">
      <c r="A169" s="256" t="s">
        <v>183</v>
      </c>
      <c r="B169" s="257">
        <v>45681</v>
      </c>
      <c r="C169" s="250" t="s">
        <v>400</v>
      </c>
      <c r="D169" s="250"/>
      <c r="E169" s="258">
        <v>26628.560000000001</v>
      </c>
      <c r="F169" s="258">
        <v>0</v>
      </c>
      <c r="G169" s="276">
        <f>Tabla3[[#This Row],[INGRESOS]]-Tabla3[[#This Row],[EGRESOS]]</f>
        <v>-26628.560000000001</v>
      </c>
      <c r="H169" s="137">
        <v>-1741347.52</v>
      </c>
      <c r="I169" s="119">
        <v>1140</v>
      </c>
      <c r="J169" s="99">
        <f>Tabla3[[#This Row],[EGRESOS]]/Tabla3[[#This Row],[TC]]</f>
        <v>23.358385964912284</v>
      </c>
      <c r="K169" s="99">
        <f>Tabla3[[#This Row],[INGRESOS]]/Tabla3[[#This Row],[TC]]</f>
        <v>0</v>
      </c>
      <c r="L169" s="7" t="s">
        <v>303</v>
      </c>
      <c r="M169" s="7" t="s">
        <v>304</v>
      </c>
      <c r="N169" s="7" t="s">
        <v>30</v>
      </c>
      <c r="O169" s="7" t="s">
        <v>184</v>
      </c>
      <c r="P169" s="7" t="s">
        <v>194</v>
      </c>
      <c r="Q169" s="7" t="s">
        <v>196</v>
      </c>
      <c r="R169" s="7" t="s">
        <v>403</v>
      </c>
      <c r="S169" s="7" t="s">
        <v>311</v>
      </c>
      <c r="T169" s="7"/>
      <c r="U169" s="7" t="s">
        <v>277</v>
      </c>
      <c r="V169" s="7" t="s">
        <v>311</v>
      </c>
      <c r="W169" s="7" t="s">
        <v>306</v>
      </c>
      <c r="X169" s="7" t="s">
        <v>103</v>
      </c>
      <c r="Y169" s="7" t="s">
        <v>23</v>
      </c>
    </row>
    <row r="170" spans="1:25" hidden="1" x14ac:dyDescent="0.25">
      <c r="A170" s="256" t="s">
        <v>183</v>
      </c>
      <c r="B170" s="257">
        <v>45681</v>
      </c>
      <c r="C170" s="250" t="s">
        <v>396</v>
      </c>
      <c r="D170" s="250"/>
      <c r="E170" s="258">
        <v>10500</v>
      </c>
      <c r="F170" s="258">
        <v>0</v>
      </c>
      <c r="G170" s="276">
        <f>Tabla3[[#This Row],[INGRESOS]]-Tabla3[[#This Row],[EGRESOS]]</f>
        <v>-10500</v>
      </c>
      <c r="H170" s="137">
        <v>-1822212.88</v>
      </c>
      <c r="I170" s="119">
        <v>1140</v>
      </c>
      <c r="J170" s="99">
        <f>Tabla3[[#This Row],[EGRESOS]]/Tabla3[[#This Row],[TC]]</f>
        <v>9.2105263157894743</v>
      </c>
      <c r="K170" s="99">
        <f>Tabla3[[#This Row],[INGRESOS]]/Tabla3[[#This Row],[TC]]</f>
        <v>0</v>
      </c>
      <c r="L170" s="7" t="s">
        <v>303</v>
      </c>
      <c r="M170" s="7" t="s">
        <v>304</v>
      </c>
      <c r="N170" s="7" t="s">
        <v>30</v>
      </c>
      <c r="O170" s="7" t="s">
        <v>184</v>
      </c>
      <c r="P170" s="7" t="s">
        <v>187</v>
      </c>
      <c r="Q170" s="7" t="s">
        <v>188</v>
      </c>
      <c r="R170" s="7" t="s">
        <v>317</v>
      </c>
      <c r="S170" s="7"/>
      <c r="T170" s="7"/>
      <c r="U170" s="7" t="s">
        <v>261</v>
      </c>
      <c r="V170" s="7"/>
      <c r="W170" s="7" t="s">
        <v>306</v>
      </c>
      <c r="X170" s="7" t="s">
        <v>98</v>
      </c>
      <c r="Y170" s="7" t="s">
        <v>23</v>
      </c>
    </row>
    <row r="171" spans="1:25" hidden="1" x14ac:dyDescent="0.25">
      <c r="A171" s="256" t="s">
        <v>183</v>
      </c>
      <c r="B171" s="257">
        <v>45685</v>
      </c>
      <c r="C171" s="250" t="s">
        <v>356</v>
      </c>
      <c r="D171" s="250"/>
      <c r="E171" s="258">
        <v>80865.36</v>
      </c>
      <c r="F171" s="258">
        <v>0</v>
      </c>
      <c r="G171" s="276">
        <f>Tabla3[[#This Row],[INGRESOS]]-Tabla3[[#This Row],[EGRESOS]]</f>
        <v>-80865.36</v>
      </c>
      <c r="H171" s="137"/>
      <c r="I171" s="119">
        <v>1140</v>
      </c>
      <c r="J171" s="99">
        <f>Tabla3[[#This Row],[EGRESOS]]/Tabla3[[#This Row],[TC]]</f>
        <v>70.934526315789469</v>
      </c>
      <c r="K171" s="99">
        <f>Tabla3[[#This Row],[INGRESOS]]/Tabla3[[#This Row],[TC]]</f>
        <v>0</v>
      </c>
      <c r="L171" s="7" t="s">
        <v>303</v>
      </c>
      <c r="M171" s="7" t="s">
        <v>304</v>
      </c>
      <c r="N171" s="7" t="s">
        <v>30</v>
      </c>
      <c r="O171" s="7" t="s">
        <v>184</v>
      </c>
      <c r="P171" s="7" t="s">
        <v>189</v>
      </c>
      <c r="Q171" s="7" t="s">
        <v>190</v>
      </c>
      <c r="R171" s="7"/>
      <c r="S171" s="7"/>
      <c r="T171" s="7"/>
      <c r="U171" s="7" t="s">
        <v>261</v>
      </c>
      <c r="V171" s="7"/>
      <c r="W171" s="7" t="s">
        <v>306</v>
      </c>
      <c r="X171" s="7" t="s">
        <v>98</v>
      </c>
      <c r="Y171" s="7" t="s">
        <v>23</v>
      </c>
    </row>
    <row r="172" spans="1:25" hidden="1" x14ac:dyDescent="0.25">
      <c r="A172" s="256" t="s">
        <v>183</v>
      </c>
      <c r="B172" s="257">
        <v>45685</v>
      </c>
      <c r="C172" s="250" t="s">
        <v>396</v>
      </c>
      <c r="D172" s="250"/>
      <c r="E172" s="258">
        <v>485.19</v>
      </c>
      <c r="F172" s="258">
        <v>0</v>
      </c>
      <c r="G172" s="276">
        <f>Tabla3[[#This Row],[INGRESOS]]-Tabla3[[#This Row],[EGRESOS]]</f>
        <v>-485.19</v>
      </c>
      <c r="H172" s="137">
        <v>-1822212.88</v>
      </c>
      <c r="I172" s="119">
        <v>1140</v>
      </c>
      <c r="J172" s="99">
        <f>Tabla3[[#This Row],[EGRESOS]]/Tabla3[[#This Row],[TC]]</f>
        <v>0.42560526315789471</v>
      </c>
      <c r="K172" s="99">
        <f>Tabla3[[#This Row],[INGRESOS]]/Tabla3[[#This Row],[TC]]</f>
        <v>0</v>
      </c>
      <c r="L172" s="7" t="s">
        <v>303</v>
      </c>
      <c r="M172" s="7" t="s">
        <v>304</v>
      </c>
      <c r="N172" s="7" t="s">
        <v>30</v>
      </c>
      <c r="O172" s="7" t="s">
        <v>184</v>
      </c>
      <c r="P172" s="7" t="s">
        <v>187</v>
      </c>
      <c r="Q172" s="7" t="s">
        <v>188</v>
      </c>
      <c r="R172" s="7" t="s">
        <v>317</v>
      </c>
      <c r="S172" s="7"/>
      <c r="T172" s="7"/>
      <c r="U172" s="7" t="s">
        <v>261</v>
      </c>
      <c r="V172" s="7"/>
      <c r="W172" s="7" t="s">
        <v>306</v>
      </c>
      <c r="X172" s="7" t="s">
        <v>98</v>
      </c>
      <c r="Y172" s="7" t="s">
        <v>23</v>
      </c>
    </row>
    <row r="173" spans="1:25" hidden="1" x14ac:dyDescent="0.25">
      <c r="A173" s="256" t="s">
        <v>225</v>
      </c>
      <c r="B173" s="257">
        <v>45691</v>
      </c>
      <c r="C173" s="250" t="s">
        <v>391</v>
      </c>
      <c r="D173" s="250"/>
      <c r="E173" s="258">
        <v>23400</v>
      </c>
      <c r="F173" s="258">
        <v>0</v>
      </c>
      <c r="G173" s="276">
        <f>Tabla3[[#This Row],[INGRESOS]]-Tabla3[[#This Row],[EGRESOS]]</f>
        <v>-23400</v>
      </c>
      <c r="H173" s="137"/>
      <c r="I173" s="119">
        <v>1140</v>
      </c>
      <c r="J173" s="99">
        <f>Tabla3[[#This Row],[EGRESOS]]/Tabla3[[#This Row],[TC]]</f>
        <v>20.526315789473685</v>
      </c>
      <c r="K173" s="99">
        <f>Tabla3[[#This Row],[INGRESOS]]/Tabla3[[#This Row],[TC]]</f>
        <v>0</v>
      </c>
      <c r="L173" s="7" t="s">
        <v>303</v>
      </c>
      <c r="M173" s="7" t="s">
        <v>304</v>
      </c>
      <c r="N173" s="7" t="s">
        <v>30</v>
      </c>
      <c r="O173" s="7" t="s">
        <v>184</v>
      </c>
      <c r="P173" s="7" t="s">
        <v>185</v>
      </c>
      <c r="Q173" s="7" t="s">
        <v>186</v>
      </c>
      <c r="R173" s="7"/>
      <c r="S173" s="7"/>
      <c r="T173" s="7"/>
      <c r="U173" s="7" t="s">
        <v>261</v>
      </c>
      <c r="V173" s="7"/>
      <c r="W173" s="7" t="s">
        <v>306</v>
      </c>
      <c r="X173" s="7" t="s">
        <v>98</v>
      </c>
      <c r="Y173" s="7" t="s">
        <v>23</v>
      </c>
    </row>
    <row r="174" spans="1:25" hidden="1" x14ac:dyDescent="0.25">
      <c r="A174" s="256" t="s">
        <v>225</v>
      </c>
      <c r="B174" s="257">
        <v>45691</v>
      </c>
      <c r="C174" s="250" t="s">
        <v>393</v>
      </c>
      <c r="D174" s="250"/>
      <c r="E174" s="258">
        <v>4914</v>
      </c>
      <c r="F174" s="258">
        <v>0</v>
      </c>
      <c r="G174" s="276">
        <f>Tabla3[[#This Row],[INGRESOS]]-Tabla3[[#This Row],[EGRESOS]]</f>
        <v>-4914</v>
      </c>
      <c r="H174" s="137"/>
      <c r="I174" s="119">
        <v>1140</v>
      </c>
      <c r="J174" s="99">
        <f>Tabla3[[#This Row],[EGRESOS]]/Tabla3[[#This Row],[TC]]</f>
        <v>4.310526315789474</v>
      </c>
      <c r="K174" s="99">
        <f>Tabla3[[#This Row],[INGRESOS]]/Tabla3[[#This Row],[TC]]</f>
        <v>0</v>
      </c>
      <c r="L174" s="7" t="s">
        <v>303</v>
      </c>
      <c r="M174" s="7" t="s">
        <v>304</v>
      </c>
      <c r="N174" s="7" t="s">
        <v>30</v>
      </c>
      <c r="O174" s="7" t="s">
        <v>184</v>
      </c>
      <c r="P174" s="7" t="s">
        <v>187</v>
      </c>
      <c r="Q174" s="7" t="s">
        <v>188</v>
      </c>
      <c r="R174" s="7" t="s">
        <v>308</v>
      </c>
      <c r="S174" s="7"/>
      <c r="T174" s="7"/>
      <c r="U174" s="7" t="s">
        <v>261</v>
      </c>
      <c r="V174" s="7"/>
      <c r="W174" s="7" t="s">
        <v>306</v>
      </c>
      <c r="X174" s="7" t="s">
        <v>98</v>
      </c>
      <c r="Y174" s="7" t="s">
        <v>23</v>
      </c>
    </row>
    <row r="175" spans="1:25" hidden="1" x14ac:dyDescent="0.25">
      <c r="A175" s="256" t="s">
        <v>225</v>
      </c>
      <c r="B175" s="257">
        <v>45691</v>
      </c>
      <c r="C175" s="250" t="s">
        <v>394</v>
      </c>
      <c r="D175" s="250"/>
      <c r="E175" s="258">
        <v>702</v>
      </c>
      <c r="F175" s="258">
        <v>0</v>
      </c>
      <c r="G175" s="276">
        <f>Tabla3[[#This Row],[INGRESOS]]-Tabla3[[#This Row],[EGRESOS]]</f>
        <v>-702</v>
      </c>
      <c r="H175" s="137"/>
      <c r="I175" s="119">
        <v>1140</v>
      </c>
      <c r="J175" s="99">
        <f>Tabla3[[#This Row],[EGRESOS]]/Tabla3[[#This Row],[TC]]</f>
        <v>0.61578947368421055</v>
      </c>
      <c r="K175" s="99">
        <f>Tabla3[[#This Row],[INGRESOS]]/Tabla3[[#This Row],[TC]]</f>
        <v>0</v>
      </c>
      <c r="L175" s="7" t="s">
        <v>303</v>
      </c>
      <c r="M175" s="7" t="s">
        <v>304</v>
      </c>
      <c r="N175" s="7" t="s">
        <v>30</v>
      </c>
      <c r="O175" s="7" t="s">
        <v>184</v>
      </c>
      <c r="P175" s="7" t="s">
        <v>187</v>
      </c>
      <c r="Q175" s="7" t="s">
        <v>188</v>
      </c>
      <c r="R175" s="7" t="s">
        <v>395</v>
      </c>
      <c r="S175" s="7"/>
      <c r="T175" s="7"/>
      <c r="U175" s="7" t="s">
        <v>261</v>
      </c>
      <c r="V175" s="7"/>
      <c r="W175" s="7" t="s">
        <v>306</v>
      </c>
      <c r="X175" s="7" t="s">
        <v>98</v>
      </c>
      <c r="Y175" s="7" t="s">
        <v>23</v>
      </c>
    </row>
    <row r="176" spans="1:25" hidden="1" x14ac:dyDescent="0.25">
      <c r="A176" s="256" t="s">
        <v>225</v>
      </c>
      <c r="B176" s="257">
        <v>45691</v>
      </c>
      <c r="C176" s="250" t="s">
        <v>396</v>
      </c>
      <c r="D176" s="250"/>
      <c r="E176" s="258">
        <v>140.4</v>
      </c>
      <c r="F176" s="258">
        <v>0</v>
      </c>
      <c r="G176" s="276">
        <f>Tabla3[[#This Row],[INGRESOS]]-Tabla3[[#This Row],[EGRESOS]]</f>
        <v>-140.4</v>
      </c>
      <c r="H176" s="137"/>
      <c r="I176" s="119">
        <v>1140</v>
      </c>
      <c r="J176" s="99">
        <f>Tabla3[[#This Row],[EGRESOS]]/Tabla3[[#This Row],[TC]]</f>
        <v>0.12315789473684211</v>
      </c>
      <c r="K176" s="99">
        <f>Tabla3[[#This Row],[INGRESOS]]/Tabla3[[#This Row],[TC]]</f>
        <v>0</v>
      </c>
      <c r="L176" s="7" t="s">
        <v>303</v>
      </c>
      <c r="M176" s="7" t="s">
        <v>304</v>
      </c>
      <c r="N176" s="7" t="s">
        <v>30</v>
      </c>
      <c r="O176" s="7" t="s">
        <v>184</v>
      </c>
      <c r="P176" s="7" t="s">
        <v>187</v>
      </c>
      <c r="Q176" s="7" t="s">
        <v>188</v>
      </c>
      <c r="R176" s="7" t="s">
        <v>317</v>
      </c>
      <c r="S176" s="7"/>
      <c r="T176" s="7"/>
      <c r="U176" s="7" t="s">
        <v>261</v>
      </c>
      <c r="V176" s="7"/>
      <c r="W176" s="7" t="s">
        <v>306</v>
      </c>
      <c r="X176" s="7" t="s">
        <v>98</v>
      </c>
      <c r="Y176" s="7" t="s">
        <v>23</v>
      </c>
    </row>
    <row r="177" spans="1:25" hidden="1" x14ac:dyDescent="0.25">
      <c r="A177" s="256" t="s">
        <v>225</v>
      </c>
      <c r="B177" s="257">
        <v>45691</v>
      </c>
      <c r="C177" s="250" t="s">
        <v>396</v>
      </c>
      <c r="D177" s="250"/>
      <c r="E177" s="258">
        <v>29.48</v>
      </c>
      <c r="F177" s="258">
        <v>0</v>
      </c>
      <c r="G177" s="276">
        <f>Tabla3[[#This Row],[INGRESOS]]-Tabla3[[#This Row],[EGRESOS]]</f>
        <v>-29.48</v>
      </c>
      <c r="H177" s="137"/>
      <c r="I177" s="119">
        <v>1140</v>
      </c>
      <c r="J177" s="99">
        <f>Tabla3[[#This Row],[EGRESOS]]/Tabla3[[#This Row],[TC]]</f>
        <v>2.5859649122807016E-2</v>
      </c>
      <c r="K177" s="99">
        <f>Tabla3[[#This Row],[INGRESOS]]/Tabla3[[#This Row],[TC]]</f>
        <v>0</v>
      </c>
      <c r="L177" s="7" t="s">
        <v>303</v>
      </c>
      <c r="M177" s="7" t="s">
        <v>304</v>
      </c>
      <c r="N177" s="7" t="s">
        <v>30</v>
      </c>
      <c r="O177" s="7" t="s">
        <v>184</v>
      </c>
      <c r="P177" s="7" t="s">
        <v>187</v>
      </c>
      <c r="Q177" s="7" t="s">
        <v>188</v>
      </c>
      <c r="R177" s="7" t="s">
        <v>317</v>
      </c>
      <c r="S177" s="7"/>
      <c r="T177" s="7"/>
      <c r="U177" s="7" t="s">
        <v>261</v>
      </c>
      <c r="V177" s="7"/>
      <c r="W177" s="7" t="s">
        <v>306</v>
      </c>
      <c r="X177" s="7" t="s">
        <v>98</v>
      </c>
      <c r="Y177" s="7" t="s">
        <v>23</v>
      </c>
    </row>
    <row r="178" spans="1:25" hidden="1" x14ac:dyDescent="0.25">
      <c r="A178" s="256" t="s">
        <v>225</v>
      </c>
      <c r="B178" s="257">
        <v>45691</v>
      </c>
      <c r="C178" s="250" t="s">
        <v>396</v>
      </c>
      <c r="D178" s="250"/>
      <c r="E178" s="258">
        <v>4.21</v>
      </c>
      <c r="F178" s="258">
        <v>0</v>
      </c>
      <c r="G178" s="276">
        <f>Tabla3[[#This Row],[INGRESOS]]-Tabla3[[#This Row],[EGRESOS]]</f>
        <v>-4.21</v>
      </c>
      <c r="H178" s="137">
        <v>-1851888.16</v>
      </c>
      <c r="I178" s="119">
        <v>1140</v>
      </c>
      <c r="J178" s="99">
        <f>Tabla3[[#This Row],[EGRESOS]]/Tabla3[[#This Row],[TC]]</f>
        <v>3.6929824561403508E-3</v>
      </c>
      <c r="K178" s="99">
        <f>Tabla3[[#This Row],[INGRESOS]]/Tabla3[[#This Row],[TC]]</f>
        <v>0</v>
      </c>
      <c r="L178" s="7" t="s">
        <v>303</v>
      </c>
      <c r="M178" s="7" t="s">
        <v>304</v>
      </c>
      <c r="N178" s="7" t="s">
        <v>30</v>
      </c>
      <c r="O178" s="7" t="s">
        <v>184</v>
      </c>
      <c r="P178" s="7" t="s">
        <v>187</v>
      </c>
      <c r="Q178" s="7" t="s">
        <v>188</v>
      </c>
      <c r="R178" s="7" t="s">
        <v>317</v>
      </c>
      <c r="S178" s="7"/>
      <c r="T178" s="7"/>
      <c r="U178" s="7" t="s">
        <v>261</v>
      </c>
      <c r="V178" s="7"/>
      <c r="W178" s="7" t="s">
        <v>306</v>
      </c>
      <c r="X178" s="7" t="s">
        <v>98</v>
      </c>
      <c r="Y178" s="7" t="s">
        <v>23</v>
      </c>
    </row>
    <row r="179" spans="1:25" hidden="1" x14ac:dyDescent="0.25">
      <c r="A179" s="256" t="s">
        <v>225</v>
      </c>
      <c r="B179" s="257">
        <v>45698</v>
      </c>
      <c r="C179" s="250" t="s">
        <v>416</v>
      </c>
      <c r="D179" s="250"/>
      <c r="E179" s="258">
        <v>1000000</v>
      </c>
      <c r="F179" s="258">
        <v>0</v>
      </c>
      <c r="G179" s="276">
        <f>Tabla3[[#This Row],[INGRESOS]]-Tabla3[[#This Row],[EGRESOS]]</f>
        <v>-1000000</v>
      </c>
      <c r="H179" s="137"/>
      <c r="I179" s="119">
        <v>1140</v>
      </c>
      <c r="J179" s="99">
        <f>Tabla3[[#This Row],[EGRESOS]]/Tabla3[[#This Row],[TC]]</f>
        <v>877.19298245614038</v>
      </c>
      <c r="K179" s="99">
        <f>Tabla3[[#This Row],[INGRESOS]]/Tabla3[[#This Row],[TC]]</f>
        <v>0</v>
      </c>
      <c r="L179" s="7" t="s">
        <v>303</v>
      </c>
      <c r="M179" s="7" t="s">
        <v>304</v>
      </c>
      <c r="N179" s="7" t="s">
        <v>30</v>
      </c>
      <c r="O179" s="7" t="s">
        <v>184</v>
      </c>
      <c r="P179" s="7" t="s">
        <v>194</v>
      </c>
      <c r="Q179" s="7" t="s">
        <v>195</v>
      </c>
      <c r="R179" s="7" t="s">
        <v>840</v>
      </c>
      <c r="S179" s="7" t="s">
        <v>404</v>
      </c>
      <c r="T179" s="7"/>
      <c r="U179" s="7" t="s">
        <v>268</v>
      </c>
      <c r="V179" s="7" t="s">
        <v>405</v>
      </c>
      <c r="W179" s="7" t="s">
        <v>306</v>
      </c>
      <c r="X179" s="7" t="s">
        <v>102</v>
      </c>
      <c r="Y179" s="7" t="s">
        <v>23</v>
      </c>
    </row>
    <row r="180" spans="1:25" hidden="1" x14ac:dyDescent="0.25">
      <c r="A180" s="256" t="s">
        <v>225</v>
      </c>
      <c r="B180" s="257">
        <v>45698</v>
      </c>
      <c r="C180" s="250" t="s">
        <v>396</v>
      </c>
      <c r="D180" s="250"/>
      <c r="E180" s="258">
        <v>6000</v>
      </c>
      <c r="F180" s="258">
        <v>0</v>
      </c>
      <c r="G180" s="276">
        <f>Tabla3[[#This Row],[INGRESOS]]-Tabla3[[#This Row],[EGRESOS]]</f>
        <v>-6000</v>
      </c>
      <c r="H180" s="137">
        <v>142111.84</v>
      </c>
      <c r="I180" s="119">
        <v>1140</v>
      </c>
      <c r="J180" s="99">
        <f>Tabla3[[#This Row],[EGRESOS]]/Tabla3[[#This Row],[TC]]</f>
        <v>5.2631578947368425</v>
      </c>
      <c r="K180" s="99">
        <f>Tabla3[[#This Row],[INGRESOS]]/Tabla3[[#This Row],[TC]]</f>
        <v>0</v>
      </c>
      <c r="L180" s="7" t="s">
        <v>303</v>
      </c>
      <c r="M180" s="7" t="s">
        <v>304</v>
      </c>
      <c r="N180" s="7" t="s">
        <v>30</v>
      </c>
      <c r="O180" s="7" t="s">
        <v>184</v>
      </c>
      <c r="P180" s="7" t="s">
        <v>187</v>
      </c>
      <c r="Q180" s="7" t="s">
        <v>188</v>
      </c>
      <c r="R180" s="7" t="s">
        <v>308</v>
      </c>
      <c r="S180" s="7"/>
      <c r="T180" s="7"/>
      <c r="U180" s="7" t="s">
        <v>261</v>
      </c>
      <c r="V180" s="7"/>
      <c r="W180" s="7" t="s">
        <v>306</v>
      </c>
      <c r="X180" s="7" t="s">
        <v>98</v>
      </c>
      <c r="Y180" s="7" t="s">
        <v>23</v>
      </c>
    </row>
    <row r="181" spans="1:25" hidden="1" x14ac:dyDescent="0.25">
      <c r="A181" s="256" t="s">
        <v>225</v>
      </c>
      <c r="B181" s="257">
        <v>45700</v>
      </c>
      <c r="C181" s="250" t="s">
        <v>406</v>
      </c>
      <c r="D181" s="250"/>
      <c r="E181" s="258">
        <v>0</v>
      </c>
      <c r="F181" s="258">
        <v>607040</v>
      </c>
      <c r="G181" s="276">
        <f>Tabla3[[#This Row],[INGRESOS]]-Tabla3[[#This Row],[EGRESOS]]</f>
        <v>607040</v>
      </c>
      <c r="H181" s="137"/>
      <c r="I181" s="119">
        <v>1140</v>
      </c>
      <c r="J181" s="99">
        <f>Tabla3[[#This Row],[EGRESOS]]/Tabla3[[#This Row],[TC]]</f>
        <v>0</v>
      </c>
      <c r="K181" s="99">
        <f>Tabla3[[#This Row],[INGRESOS]]/Tabla3[[#This Row],[TC]]</f>
        <v>532.49122807017545</v>
      </c>
      <c r="L181" s="7" t="s">
        <v>303</v>
      </c>
      <c r="M181" s="7" t="s">
        <v>304</v>
      </c>
      <c r="N181" s="7" t="s">
        <v>30</v>
      </c>
      <c r="O181" s="7" t="s">
        <v>197</v>
      </c>
      <c r="P181" s="7" t="s">
        <v>198</v>
      </c>
      <c r="Q181" s="7" t="s">
        <v>201</v>
      </c>
      <c r="R181" s="7" t="s">
        <v>407</v>
      </c>
      <c r="S181" s="7" t="s">
        <v>408</v>
      </c>
      <c r="T181" s="7"/>
      <c r="U181" s="7" t="s">
        <v>269</v>
      </c>
      <c r="V181" s="7"/>
      <c r="W181" s="7" t="s">
        <v>306</v>
      </c>
      <c r="X181" s="7" t="s">
        <v>23</v>
      </c>
      <c r="Y181" s="7" t="s">
        <v>96</v>
      </c>
    </row>
    <row r="182" spans="1:25" hidden="1" x14ac:dyDescent="0.25">
      <c r="A182" s="256" t="s">
        <v>225</v>
      </c>
      <c r="B182" s="257">
        <v>45700</v>
      </c>
      <c r="C182" s="250" t="s">
        <v>409</v>
      </c>
      <c r="D182" s="250"/>
      <c r="E182" s="258">
        <v>3035.2</v>
      </c>
      <c r="F182" s="258">
        <v>0</v>
      </c>
      <c r="G182" s="276">
        <f>Tabla3[[#This Row],[INGRESOS]]-Tabla3[[#This Row],[EGRESOS]]</f>
        <v>-3035.2</v>
      </c>
      <c r="H182" s="137"/>
      <c r="I182" s="119">
        <v>1140</v>
      </c>
      <c r="J182" s="99">
        <f>Tabla3[[#This Row],[EGRESOS]]/Tabla3[[#This Row],[TC]]</f>
        <v>2.6624561403508769</v>
      </c>
      <c r="K182" s="99">
        <f>Tabla3[[#This Row],[INGRESOS]]/Tabla3[[#This Row],[TC]]</f>
        <v>0</v>
      </c>
      <c r="L182" s="7" t="s">
        <v>303</v>
      </c>
      <c r="M182" s="7" t="s">
        <v>304</v>
      </c>
      <c r="N182" s="7" t="s">
        <v>30</v>
      </c>
      <c r="O182" s="7" t="s">
        <v>184</v>
      </c>
      <c r="P182" s="7" t="s">
        <v>185</v>
      </c>
      <c r="Q182" s="7" t="s">
        <v>186</v>
      </c>
      <c r="R182" s="7"/>
      <c r="S182" s="7"/>
      <c r="T182" s="7"/>
      <c r="U182" s="7" t="s">
        <v>261</v>
      </c>
      <c r="V182" s="7"/>
      <c r="W182" s="7" t="s">
        <v>306</v>
      </c>
      <c r="X182" s="7" t="s">
        <v>98</v>
      </c>
      <c r="Y182" s="7" t="s">
        <v>23</v>
      </c>
    </row>
    <row r="183" spans="1:25" hidden="1" x14ac:dyDescent="0.25">
      <c r="A183" s="256" t="s">
        <v>225</v>
      </c>
      <c r="B183" s="257">
        <v>45700</v>
      </c>
      <c r="C183" s="250" t="s">
        <v>393</v>
      </c>
      <c r="D183" s="250"/>
      <c r="E183" s="258">
        <v>637.39</v>
      </c>
      <c r="F183" s="258">
        <v>0</v>
      </c>
      <c r="G183" s="276">
        <f>Tabla3[[#This Row],[INGRESOS]]-Tabla3[[#This Row],[EGRESOS]]</f>
        <v>-637.39</v>
      </c>
      <c r="H183" s="137"/>
      <c r="I183" s="119">
        <v>1140</v>
      </c>
      <c r="J183" s="99">
        <f>Tabla3[[#This Row],[EGRESOS]]/Tabla3[[#This Row],[TC]]</f>
        <v>0.55911403508771929</v>
      </c>
      <c r="K183" s="99">
        <f>Tabla3[[#This Row],[INGRESOS]]/Tabla3[[#This Row],[TC]]</f>
        <v>0</v>
      </c>
      <c r="L183" s="7" t="s">
        <v>303</v>
      </c>
      <c r="M183" s="7" t="s">
        <v>304</v>
      </c>
      <c r="N183" s="7" t="s">
        <v>30</v>
      </c>
      <c r="O183" s="7" t="s">
        <v>184</v>
      </c>
      <c r="P183" s="7" t="s">
        <v>187</v>
      </c>
      <c r="Q183" s="7" t="s">
        <v>188</v>
      </c>
      <c r="R183" s="7" t="s">
        <v>308</v>
      </c>
      <c r="S183" s="7"/>
      <c r="T183" s="7"/>
      <c r="U183" s="7" t="s">
        <v>261</v>
      </c>
      <c r="V183" s="7"/>
      <c r="W183" s="7" t="s">
        <v>306</v>
      </c>
      <c r="X183" s="7" t="s">
        <v>98</v>
      </c>
      <c r="Y183" s="7" t="s">
        <v>23</v>
      </c>
    </row>
    <row r="184" spans="1:25" hidden="1" x14ac:dyDescent="0.25">
      <c r="A184" s="256" t="s">
        <v>225</v>
      </c>
      <c r="B184" s="257">
        <v>45700</v>
      </c>
      <c r="C184" s="250" t="s">
        <v>394</v>
      </c>
      <c r="D184" s="250"/>
      <c r="E184" s="258">
        <v>91.06</v>
      </c>
      <c r="F184" s="258">
        <v>0</v>
      </c>
      <c r="G184" s="276">
        <f>Tabla3[[#This Row],[INGRESOS]]-Tabla3[[#This Row],[EGRESOS]]</f>
        <v>-91.06</v>
      </c>
      <c r="H184" s="137"/>
      <c r="I184" s="119">
        <v>1140</v>
      </c>
      <c r="J184" s="99">
        <f>Tabla3[[#This Row],[EGRESOS]]/Tabla3[[#This Row],[TC]]</f>
        <v>7.9877192982456144E-2</v>
      </c>
      <c r="K184" s="99">
        <f>Tabla3[[#This Row],[INGRESOS]]/Tabla3[[#This Row],[TC]]</f>
        <v>0</v>
      </c>
      <c r="L184" s="7" t="s">
        <v>303</v>
      </c>
      <c r="M184" s="7" t="s">
        <v>304</v>
      </c>
      <c r="N184" s="7" t="s">
        <v>30</v>
      </c>
      <c r="O184" s="7" t="s">
        <v>184</v>
      </c>
      <c r="P184" s="7" t="s">
        <v>187</v>
      </c>
      <c r="Q184" s="7" t="s">
        <v>188</v>
      </c>
      <c r="R184" s="7" t="s">
        <v>395</v>
      </c>
      <c r="S184" s="7"/>
      <c r="T184" s="7"/>
      <c r="U184" s="7" t="s">
        <v>261</v>
      </c>
      <c r="V184" s="7"/>
      <c r="W184" s="7" t="s">
        <v>306</v>
      </c>
      <c r="X184" s="7" t="s">
        <v>98</v>
      </c>
      <c r="Y184" s="7" t="s">
        <v>23</v>
      </c>
    </row>
    <row r="185" spans="1:25" hidden="1" x14ac:dyDescent="0.25">
      <c r="A185" s="256" t="s">
        <v>225</v>
      </c>
      <c r="B185" s="257">
        <v>45700</v>
      </c>
      <c r="C185" s="250" t="s">
        <v>410</v>
      </c>
      <c r="D185" s="250"/>
      <c r="E185" s="258">
        <v>3642.24</v>
      </c>
      <c r="F185" s="258">
        <v>0</v>
      </c>
      <c r="G185" s="276">
        <f>Tabla3[[#This Row],[INGRESOS]]-Tabla3[[#This Row],[EGRESOS]]</f>
        <v>-3642.24</v>
      </c>
      <c r="H185" s="137"/>
      <c r="I185" s="119">
        <v>1140</v>
      </c>
      <c r="J185" s="99">
        <f>Tabla3[[#This Row],[EGRESOS]]/Tabla3[[#This Row],[TC]]</f>
        <v>3.1949473684210523</v>
      </c>
      <c r="K185" s="99">
        <f>Tabla3[[#This Row],[INGRESOS]]/Tabla3[[#This Row],[TC]]</f>
        <v>0</v>
      </c>
      <c r="L185" s="7" t="s">
        <v>303</v>
      </c>
      <c r="M185" s="7" t="s">
        <v>304</v>
      </c>
      <c r="N185" s="7" t="s">
        <v>30</v>
      </c>
      <c r="O185" s="7" t="s">
        <v>184</v>
      </c>
      <c r="P185" s="7" t="s">
        <v>187</v>
      </c>
      <c r="Q185" s="7" t="s">
        <v>188</v>
      </c>
      <c r="R185" s="7" t="s">
        <v>317</v>
      </c>
      <c r="S185" s="7"/>
      <c r="T185" s="7"/>
      <c r="U185" s="7" t="s">
        <v>261</v>
      </c>
      <c r="V185" s="7"/>
      <c r="W185" s="7" t="s">
        <v>306</v>
      </c>
      <c r="X185" s="7" t="s">
        <v>98</v>
      </c>
      <c r="Y185" s="7" t="s">
        <v>23</v>
      </c>
    </row>
    <row r="186" spans="1:25" hidden="1" x14ac:dyDescent="0.25">
      <c r="A186" s="256" t="s">
        <v>225</v>
      </c>
      <c r="B186" s="257">
        <v>45700</v>
      </c>
      <c r="C186" s="250" t="s">
        <v>396</v>
      </c>
      <c r="D186" s="250"/>
      <c r="E186" s="258">
        <v>18.21</v>
      </c>
      <c r="F186" s="258">
        <v>0</v>
      </c>
      <c r="G186" s="276">
        <f>Tabla3[[#This Row],[INGRESOS]]-Tabla3[[#This Row],[EGRESOS]]</f>
        <v>-18.21</v>
      </c>
      <c r="H186" s="137"/>
      <c r="I186" s="119">
        <v>1140</v>
      </c>
      <c r="J186" s="99">
        <f>Tabla3[[#This Row],[EGRESOS]]/Tabla3[[#This Row],[TC]]</f>
        <v>1.5973684210526317E-2</v>
      </c>
      <c r="K186" s="99">
        <f>Tabla3[[#This Row],[INGRESOS]]/Tabla3[[#This Row],[TC]]</f>
        <v>0</v>
      </c>
      <c r="L186" s="7" t="s">
        <v>303</v>
      </c>
      <c r="M186" s="7" t="s">
        <v>304</v>
      </c>
      <c r="N186" s="7" t="s">
        <v>30</v>
      </c>
      <c r="O186" s="7" t="s">
        <v>184</v>
      </c>
      <c r="P186" s="7" t="s">
        <v>187</v>
      </c>
      <c r="Q186" s="7" t="s">
        <v>188</v>
      </c>
      <c r="R186" s="7" t="s">
        <v>317</v>
      </c>
      <c r="S186" s="7"/>
      <c r="T186" s="7"/>
      <c r="U186" s="7" t="s">
        <v>261</v>
      </c>
      <c r="V186" s="7"/>
      <c r="W186" s="7" t="s">
        <v>306</v>
      </c>
      <c r="X186" s="7" t="s">
        <v>98</v>
      </c>
      <c r="Y186" s="7" t="s">
        <v>23</v>
      </c>
    </row>
    <row r="187" spans="1:25" hidden="1" x14ac:dyDescent="0.25">
      <c r="A187" s="256" t="s">
        <v>225</v>
      </c>
      <c r="B187" s="257">
        <v>45700</v>
      </c>
      <c r="C187" s="250" t="s">
        <v>396</v>
      </c>
      <c r="D187" s="250"/>
      <c r="E187" s="258">
        <v>3.82</v>
      </c>
      <c r="F187" s="258">
        <v>0</v>
      </c>
      <c r="G187" s="276">
        <f>Tabla3[[#This Row],[INGRESOS]]-Tabla3[[#This Row],[EGRESOS]]</f>
        <v>-3.82</v>
      </c>
      <c r="H187" s="354"/>
      <c r="I187" s="119">
        <v>1140</v>
      </c>
      <c r="J187" s="99">
        <f>Tabla3[[#This Row],[EGRESOS]]/Tabla3[[#This Row],[TC]]</f>
        <v>3.3508771929824559E-3</v>
      </c>
      <c r="K187" s="99">
        <f>Tabla3[[#This Row],[INGRESOS]]/Tabla3[[#This Row],[TC]]</f>
        <v>0</v>
      </c>
      <c r="L187" s="7" t="s">
        <v>303</v>
      </c>
      <c r="M187" s="7" t="s">
        <v>304</v>
      </c>
      <c r="N187" s="7" t="s">
        <v>30</v>
      </c>
      <c r="O187" s="7" t="s">
        <v>184</v>
      </c>
      <c r="P187" s="7" t="s">
        <v>187</v>
      </c>
      <c r="Q187" s="7" t="s">
        <v>188</v>
      </c>
      <c r="R187" s="7" t="s">
        <v>317</v>
      </c>
      <c r="S187" s="7"/>
      <c r="T187" s="7"/>
      <c r="U187" s="7" t="s">
        <v>261</v>
      </c>
      <c r="V187" s="7"/>
      <c r="W187" s="7" t="s">
        <v>306</v>
      </c>
      <c r="X187" s="7" t="s">
        <v>98</v>
      </c>
      <c r="Y187" s="7" t="s">
        <v>23</v>
      </c>
    </row>
    <row r="188" spans="1:25" hidden="1" x14ac:dyDescent="0.25">
      <c r="A188" s="256" t="s">
        <v>225</v>
      </c>
      <c r="B188" s="257">
        <v>45700</v>
      </c>
      <c r="C188" s="250" t="s">
        <v>396</v>
      </c>
      <c r="D188" s="250"/>
      <c r="E188" s="258">
        <v>0.55000000000000004</v>
      </c>
      <c r="F188" s="258">
        <v>0</v>
      </c>
      <c r="G188" s="276">
        <f>Tabla3[[#This Row],[INGRESOS]]-Tabla3[[#This Row],[EGRESOS]]</f>
        <v>-0.55000000000000004</v>
      </c>
      <c r="H188" s="354"/>
      <c r="I188" s="119">
        <v>1140</v>
      </c>
      <c r="J188" s="99">
        <f>Tabla3[[#This Row],[EGRESOS]]/Tabla3[[#This Row],[TC]]</f>
        <v>4.8245614035087722E-4</v>
      </c>
      <c r="K188" s="99">
        <f>Tabla3[[#This Row],[INGRESOS]]/Tabla3[[#This Row],[TC]]</f>
        <v>0</v>
      </c>
      <c r="L188" s="7" t="s">
        <v>303</v>
      </c>
      <c r="M188" s="7" t="s">
        <v>304</v>
      </c>
      <c r="N188" s="7" t="s">
        <v>30</v>
      </c>
      <c r="O188" s="7" t="s">
        <v>184</v>
      </c>
      <c r="P188" s="7" t="s">
        <v>187</v>
      </c>
      <c r="Q188" s="7" t="s">
        <v>188</v>
      </c>
      <c r="R188" s="7" t="s">
        <v>317</v>
      </c>
      <c r="S188" s="7"/>
      <c r="T188" s="7"/>
      <c r="U188" s="7" t="s">
        <v>261</v>
      </c>
      <c r="V188" s="7"/>
      <c r="W188" s="7" t="s">
        <v>306</v>
      </c>
      <c r="X188" s="7" t="s">
        <v>98</v>
      </c>
      <c r="Y188" s="7" t="s">
        <v>23</v>
      </c>
    </row>
    <row r="189" spans="1:25" hidden="1" x14ac:dyDescent="0.25">
      <c r="A189" s="256" t="s">
        <v>225</v>
      </c>
      <c r="B189" s="257">
        <v>45705</v>
      </c>
      <c r="C189" s="250" t="s">
        <v>396</v>
      </c>
      <c r="D189" s="250"/>
      <c r="E189" s="258">
        <v>2172</v>
      </c>
      <c r="F189" s="258">
        <v>0</v>
      </c>
      <c r="G189" s="276">
        <f>Tabla3[[#This Row],[INGRESOS]]-Tabla3[[#This Row],[EGRESOS]]</f>
        <v>-2172</v>
      </c>
      <c r="H189" s="354"/>
      <c r="I189" s="119">
        <v>1140</v>
      </c>
      <c r="J189" s="99">
        <f>Tabla3[[#This Row],[EGRESOS]]/Tabla3[[#This Row],[TC]]</f>
        <v>1.9052631578947368</v>
      </c>
      <c r="K189" s="99">
        <f>Tabla3[[#This Row],[INGRESOS]]/Tabla3[[#This Row],[TC]]</f>
        <v>0</v>
      </c>
      <c r="L189" s="7" t="s">
        <v>303</v>
      </c>
      <c r="M189" s="7" t="s">
        <v>304</v>
      </c>
      <c r="N189" s="7" t="s">
        <v>30</v>
      </c>
      <c r="O189" s="7" t="s">
        <v>184</v>
      </c>
      <c r="P189" s="7" t="s">
        <v>187</v>
      </c>
      <c r="Q189" s="7" t="s">
        <v>188</v>
      </c>
      <c r="R189" s="7" t="s">
        <v>317</v>
      </c>
      <c r="S189" s="7"/>
      <c r="T189" s="7"/>
      <c r="U189" s="7" t="s">
        <v>261</v>
      </c>
      <c r="V189" s="7"/>
      <c r="W189" s="7" t="s">
        <v>306</v>
      </c>
      <c r="X189" s="7" t="s">
        <v>98</v>
      </c>
      <c r="Y189" s="7" t="s">
        <v>23</v>
      </c>
    </row>
    <row r="190" spans="1:25" hidden="1" x14ac:dyDescent="0.25">
      <c r="A190" s="256" t="s">
        <v>225</v>
      </c>
      <c r="B190" s="257">
        <v>45708</v>
      </c>
      <c r="C190" s="250" t="s">
        <v>416</v>
      </c>
      <c r="D190" s="250"/>
      <c r="E190" s="258">
        <v>60000</v>
      </c>
      <c r="F190" s="258">
        <v>0</v>
      </c>
      <c r="G190" s="276">
        <f>Tabla3[[#This Row],[INGRESOS]]-Tabla3[[#This Row],[EGRESOS]]</f>
        <v>-60000</v>
      </c>
      <c r="H190" s="354"/>
      <c r="I190" s="119">
        <v>1140</v>
      </c>
      <c r="J190" s="99">
        <f>Tabla3[[#This Row],[EGRESOS]]/Tabla3[[#This Row],[TC]]</f>
        <v>52.631578947368418</v>
      </c>
      <c r="K190" s="99">
        <f>Tabla3[[#This Row],[INGRESOS]]/Tabla3[[#This Row],[TC]]</f>
        <v>0</v>
      </c>
      <c r="L190" s="7" t="s">
        <v>303</v>
      </c>
      <c r="M190" s="7" t="s">
        <v>304</v>
      </c>
      <c r="N190" s="7" t="s">
        <v>30</v>
      </c>
      <c r="O190" s="7" t="s">
        <v>184</v>
      </c>
      <c r="P190" s="7" t="s">
        <v>191</v>
      </c>
      <c r="Q190" s="7" t="s">
        <v>192</v>
      </c>
      <c r="R190" s="7" t="s">
        <v>412</v>
      </c>
      <c r="S190" s="7" t="s">
        <v>413</v>
      </c>
      <c r="T190" s="7"/>
      <c r="U190" s="7" t="s">
        <v>266</v>
      </c>
      <c r="V190" s="7"/>
      <c r="W190" s="7" t="s">
        <v>306</v>
      </c>
      <c r="X190" s="7" t="s">
        <v>29</v>
      </c>
      <c r="Y190" s="7" t="s">
        <v>23</v>
      </c>
    </row>
    <row r="191" spans="1:25" hidden="1" x14ac:dyDescent="0.25">
      <c r="A191" s="283" t="s">
        <v>225</v>
      </c>
      <c r="B191" s="260">
        <v>45708</v>
      </c>
      <c r="C191" s="261" t="s">
        <v>416</v>
      </c>
      <c r="D191" s="261"/>
      <c r="E191" s="262">
        <v>4582.87</v>
      </c>
      <c r="F191" s="262">
        <v>0</v>
      </c>
      <c r="G191" s="285">
        <f>Tabla3[[#This Row],[INGRESOS]]-Tabla3[[#This Row],[EGRESOS]]</f>
        <v>-4582.87</v>
      </c>
      <c r="H191" s="355"/>
      <c r="I191" s="135">
        <v>1140</v>
      </c>
      <c r="J191" s="136">
        <f>Tabla3[[#This Row],[EGRESOS]]/Tabla3[[#This Row],[TC]]</f>
        <v>4.0200614035087714</v>
      </c>
      <c r="K191" s="136">
        <f>Tabla3[[#This Row],[INGRESOS]]/Tabla3[[#This Row],[TC]]</f>
        <v>0</v>
      </c>
      <c r="L191" s="8" t="s">
        <v>303</v>
      </c>
      <c r="M191" s="8" t="s">
        <v>304</v>
      </c>
      <c r="N191" s="8" t="s">
        <v>30</v>
      </c>
      <c r="O191" s="8" t="s">
        <v>184</v>
      </c>
      <c r="P191" s="8" t="s">
        <v>191</v>
      </c>
      <c r="Q191" s="8" t="s">
        <v>193</v>
      </c>
      <c r="R191" s="8" t="s">
        <v>348</v>
      </c>
      <c r="S191" s="8" t="s">
        <v>413</v>
      </c>
      <c r="T191" s="8"/>
      <c r="U191" s="8" t="s">
        <v>266</v>
      </c>
      <c r="V191" s="8"/>
      <c r="W191" s="8" t="s">
        <v>306</v>
      </c>
      <c r="X191" s="8" t="s">
        <v>29</v>
      </c>
      <c r="Y191" s="8" t="s">
        <v>23</v>
      </c>
    </row>
    <row r="192" spans="1:25" hidden="1" x14ac:dyDescent="0.25">
      <c r="A192" s="283" t="s">
        <v>225</v>
      </c>
      <c r="B192" s="260">
        <v>45708</v>
      </c>
      <c r="C192" s="261" t="s">
        <v>416</v>
      </c>
      <c r="D192" s="261"/>
      <c r="E192" s="262">
        <v>4071.96</v>
      </c>
      <c r="F192" s="262">
        <v>0</v>
      </c>
      <c r="G192" s="285">
        <f>Tabla3[[#This Row],[INGRESOS]]-Tabla3[[#This Row],[EGRESOS]]</f>
        <v>-4071.96</v>
      </c>
      <c r="H192" s="355"/>
      <c r="I192" s="135">
        <v>1140</v>
      </c>
      <c r="J192" s="136">
        <f>Tabla3[[#This Row],[EGRESOS]]/Tabla3[[#This Row],[TC]]</f>
        <v>3.5718947368421055</v>
      </c>
      <c r="K192" s="136">
        <f>Tabla3[[#This Row],[INGRESOS]]/Tabla3[[#This Row],[TC]]</f>
        <v>0</v>
      </c>
      <c r="L192" s="8" t="s">
        <v>303</v>
      </c>
      <c r="M192" s="8" t="s">
        <v>304</v>
      </c>
      <c r="N192" s="8" t="s">
        <v>30</v>
      </c>
      <c r="O192" s="8" t="s">
        <v>184</v>
      </c>
      <c r="P192" s="8" t="s">
        <v>191</v>
      </c>
      <c r="Q192" s="8" t="s">
        <v>193</v>
      </c>
      <c r="R192" s="8" t="s">
        <v>412</v>
      </c>
      <c r="S192" s="8" t="s">
        <v>414</v>
      </c>
      <c r="T192" s="8"/>
      <c r="U192" s="8" t="s">
        <v>266</v>
      </c>
      <c r="V192" s="8"/>
      <c r="W192" s="8" t="s">
        <v>306</v>
      </c>
      <c r="X192" s="8" t="s">
        <v>29</v>
      </c>
      <c r="Y192" s="8" t="s">
        <v>23</v>
      </c>
    </row>
    <row r="193" spans="1:25" hidden="1" x14ac:dyDescent="0.25">
      <c r="A193" s="283" t="s">
        <v>225</v>
      </c>
      <c r="B193" s="260">
        <v>45708</v>
      </c>
      <c r="C193" s="261" t="s">
        <v>416</v>
      </c>
      <c r="D193" s="261"/>
      <c r="E193" s="262">
        <v>23000</v>
      </c>
      <c r="F193" s="262">
        <v>0</v>
      </c>
      <c r="G193" s="285">
        <f>Tabla3[[#This Row],[INGRESOS]]-Tabla3[[#This Row],[EGRESOS]]</f>
        <v>-23000</v>
      </c>
      <c r="H193" s="355"/>
      <c r="I193" s="135">
        <v>1140</v>
      </c>
      <c r="J193" s="136">
        <f>Tabla3[[#This Row],[EGRESOS]]/Tabla3[[#This Row],[TC]]</f>
        <v>20.17543859649123</v>
      </c>
      <c r="K193" s="136">
        <f>Tabla3[[#This Row],[INGRESOS]]/Tabla3[[#This Row],[TC]]</f>
        <v>0</v>
      </c>
      <c r="L193" s="8" t="s">
        <v>303</v>
      </c>
      <c r="M193" s="8" t="s">
        <v>304</v>
      </c>
      <c r="N193" s="8" t="s">
        <v>30</v>
      </c>
      <c r="O193" s="8" t="s">
        <v>184</v>
      </c>
      <c r="P193" s="8" t="s">
        <v>191</v>
      </c>
      <c r="Q193" s="8" t="s">
        <v>193</v>
      </c>
      <c r="R193" s="8" t="s">
        <v>402</v>
      </c>
      <c r="S193" s="8" t="s">
        <v>313</v>
      </c>
      <c r="T193" s="8"/>
      <c r="U193" s="8" t="s">
        <v>266</v>
      </c>
      <c r="V193" s="8"/>
      <c r="W193" s="8" t="s">
        <v>306</v>
      </c>
      <c r="X193" s="8" t="s">
        <v>98</v>
      </c>
      <c r="Y193" s="8" t="s">
        <v>23</v>
      </c>
    </row>
    <row r="194" spans="1:25" hidden="1" x14ac:dyDescent="0.25">
      <c r="A194" s="283" t="s">
        <v>225</v>
      </c>
      <c r="B194" s="260">
        <v>45708</v>
      </c>
      <c r="C194" s="261" t="s">
        <v>416</v>
      </c>
      <c r="D194" s="261"/>
      <c r="E194" s="262">
        <v>92712</v>
      </c>
      <c r="F194" s="262">
        <v>0</v>
      </c>
      <c r="G194" s="285">
        <f>Tabla3[[#This Row],[INGRESOS]]-Tabla3[[#This Row],[EGRESOS]]</f>
        <v>-92712</v>
      </c>
      <c r="H194" s="355"/>
      <c r="I194" s="135">
        <v>1140</v>
      </c>
      <c r="J194" s="136">
        <f>Tabla3[[#This Row],[EGRESOS]]/Tabla3[[#This Row],[TC]]</f>
        <v>81.326315789473682</v>
      </c>
      <c r="K194" s="136">
        <f>Tabla3[[#This Row],[INGRESOS]]/Tabla3[[#This Row],[TC]]</f>
        <v>0</v>
      </c>
      <c r="L194" s="8" t="s">
        <v>303</v>
      </c>
      <c r="M194" s="8" t="s">
        <v>304</v>
      </c>
      <c r="N194" s="8" t="s">
        <v>30</v>
      </c>
      <c r="O194" s="8" t="s">
        <v>204</v>
      </c>
      <c r="P194" s="8" t="s">
        <v>210</v>
      </c>
      <c r="Q194" s="8" t="s">
        <v>229</v>
      </c>
      <c r="R194" s="8"/>
      <c r="S194" s="8" t="s">
        <v>415</v>
      </c>
      <c r="T194" s="8"/>
      <c r="U194" s="8" t="s">
        <v>261</v>
      </c>
      <c r="V194" s="8"/>
      <c r="W194" s="8" t="s">
        <v>306</v>
      </c>
      <c r="X194" s="8" t="s">
        <v>29</v>
      </c>
      <c r="Y194" s="8" t="s">
        <v>23</v>
      </c>
    </row>
    <row r="195" spans="1:25" hidden="1" x14ac:dyDescent="0.25">
      <c r="A195" s="283" t="s">
        <v>225</v>
      </c>
      <c r="B195" s="260">
        <v>45708</v>
      </c>
      <c r="C195" s="261" t="s">
        <v>396</v>
      </c>
      <c r="D195" s="261"/>
      <c r="E195" s="262">
        <v>1106.4000000000001</v>
      </c>
      <c r="F195" s="262">
        <v>0</v>
      </c>
      <c r="G195" s="285">
        <f>Tabla3[[#This Row],[INGRESOS]]-Tabla3[[#This Row],[EGRESOS]]</f>
        <v>-1106.4000000000001</v>
      </c>
      <c r="H195" s="285">
        <v>-2809118.73</v>
      </c>
      <c r="I195" s="135">
        <v>1140</v>
      </c>
      <c r="J195" s="136">
        <f>Tabla3[[#This Row],[EGRESOS]]/Tabla3[[#This Row],[TC]]</f>
        <v>0.97052631578947379</v>
      </c>
      <c r="K195" s="136">
        <f>Tabla3[[#This Row],[INGRESOS]]/Tabla3[[#This Row],[TC]]</f>
        <v>0</v>
      </c>
      <c r="L195" s="8" t="s">
        <v>303</v>
      </c>
      <c r="M195" s="8" t="s">
        <v>304</v>
      </c>
      <c r="N195" s="8" t="s">
        <v>30</v>
      </c>
      <c r="O195" s="8" t="s">
        <v>184</v>
      </c>
      <c r="P195" s="8" t="s">
        <v>187</v>
      </c>
      <c r="Q195" s="8" t="s">
        <v>188</v>
      </c>
      <c r="R195" s="8" t="s">
        <v>317</v>
      </c>
      <c r="S195" s="8"/>
      <c r="T195" s="8"/>
      <c r="U195" s="8" t="s">
        <v>261</v>
      </c>
      <c r="V195" s="8"/>
      <c r="W195" s="8" t="s">
        <v>306</v>
      </c>
      <c r="X195" s="8" t="s">
        <v>98</v>
      </c>
      <c r="Y195" s="8" t="s">
        <v>23</v>
      </c>
    </row>
    <row r="196" spans="1:25" hidden="1" x14ac:dyDescent="0.25">
      <c r="A196" s="283" t="s">
        <v>225</v>
      </c>
      <c r="B196" s="260">
        <v>45715</v>
      </c>
      <c r="C196" s="261" t="s">
        <v>356</v>
      </c>
      <c r="D196" s="261"/>
      <c r="E196" s="262">
        <v>93475.39</v>
      </c>
      <c r="F196" s="262">
        <v>0</v>
      </c>
      <c r="G196" s="285">
        <f>Tabla3[[#This Row],[INGRESOS]]-Tabla3[[#This Row],[EGRESOS]]</f>
        <v>-93475.39</v>
      </c>
      <c r="H196" s="285"/>
      <c r="I196" s="135">
        <v>1140</v>
      </c>
      <c r="J196" s="136">
        <f>Tabla3[[#This Row],[EGRESOS]]/Tabla3[[#This Row],[TC]]</f>
        <v>81.99595614035087</v>
      </c>
      <c r="K196" s="136">
        <f>Tabla3[[#This Row],[INGRESOS]]/Tabla3[[#This Row],[TC]]</f>
        <v>0</v>
      </c>
      <c r="L196" s="8" t="s">
        <v>303</v>
      </c>
      <c r="M196" s="8" t="s">
        <v>304</v>
      </c>
      <c r="N196" s="8" t="s">
        <v>30</v>
      </c>
      <c r="O196" s="8" t="s">
        <v>184</v>
      </c>
      <c r="P196" s="8" t="s">
        <v>187</v>
      </c>
      <c r="Q196" s="8" t="s">
        <v>188</v>
      </c>
      <c r="R196" s="8" t="s">
        <v>317</v>
      </c>
      <c r="S196" s="8"/>
      <c r="T196" s="8"/>
      <c r="U196" s="8" t="s">
        <v>261</v>
      </c>
      <c r="V196" s="8"/>
      <c r="W196" s="8" t="s">
        <v>306</v>
      </c>
      <c r="X196" s="8" t="s">
        <v>98</v>
      </c>
      <c r="Y196" s="8" t="s">
        <v>23</v>
      </c>
    </row>
    <row r="197" spans="1:25" hidden="1" x14ac:dyDescent="0.25">
      <c r="A197" s="283" t="s">
        <v>225</v>
      </c>
      <c r="B197" s="260">
        <v>45715</v>
      </c>
      <c r="C197" s="261" t="s">
        <v>396</v>
      </c>
      <c r="D197" s="261"/>
      <c r="E197" s="262">
        <v>560.85</v>
      </c>
      <c r="F197" s="262">
        <v>0</v>
      </c>
      <c r="G197" s="285">
        <f>Tabla3[[#This Row],[INGRESOS]]-Tabla3[[#This Row],[EGRESOS]]</f>
        <v>-560.85</v>
      </c>
      <c r="H197" s="285"/>
      <c r="I197" s="135">
        <v>1140</v>
      </c>
      <c r="J197" s="136">
        <f>Tabla3[[#This Row],[EGRESOS]]/Tabla3[[#This Row],[TC]]</f>
        <v>0.49197368421052634</v>
      </c>
      <c r="K197" s="136">
        <f>Tabla3[[#This Row],[INGRESOS]]/Tabla3[[#This Row],[TC]]</f>
        <v>0</v>
      </c>
      <c r="L197" s="8" t="s">
        <v>303</v>
      </c>
      <c r="M197" s="8" t="s">
        <v>304</v>
      </c>
      <c r="N197" s="8" t="s">
        <v>30</v>
      </c>
      <c r="O197" s="8" t="s">
        <v>184</v>
      </c>
      <c r="P197" s="8" t="s">
        <v>189</v>
      </c>
      <c r="Q197" s="8" t="s">
        <v>190</v>
      </c>
      <c r="R197" s="8"/>
      <c r="S197" s="8"/>
      <c r="T197" s="8"/>
      <c r="U197" s="8" t="s">
        <v>261</v>
      </c>
      <c r="V197" s="8"/>
      <c r="W197" s="8" t="s">
        <v>306</v>
      </c>
      <c r="X197" s="8" t="s">
        <v>98</v>
      </c>
      <c r="Y197" s="8" t="s">
        <v>23</v>
      </c>
    </row>
    <row r="198" spans="1:25" hidden="1" x14ac:dyDescent="0.25">
      <c r="A198" s="283" t="str">
        <f>"MARZO"</f>
        <v>MARZO</v>
      </c>
      <c r="B198" s="260">
        <v>45721</v>
      </c>
      <c r="C198" s="261" t="s">
        <v>416</v>
      </c>
      <c r="D198" s="261"/>
      <c r="E198" s="262">
        <v>90000</v>
      </c>
      <c r="F198" s="262">
        <v>0</v>
      </c>
      <c r="G198" s="285">
        <f>Tabla3[[#This Row],[INGRESOS]]-Tabla3[[#This Row],[EGRESOS]]</f>
        <v>-90000</v>
      </c>
      <c r="H198" s="285"/>
      <c r="I198" s="135">
        <v>1140</v>
      </c>
      <c r="J198" s="136">
        <f>Tabla3[[#This Row],[EGRESOS]]/Tabla3[[#This Row],[TC]]</f>
        <v>78.94736842105263</v>
      </c>
      <c r="K198" s="136">
        <f>Tabla3[[#This Row],[INGRESOS]]/Tabla3[[#This Row],[TC]]</f>
        <v>0</v>
      </c>
      <c r="L198" s="8" t="s">
        <v>303</v>
      </c>
      <c r="M198" s="8" t="s">
        <v>304</v>
      </c>
      <c r="N198" s="8" t="s">
        <v>30</v>
      </c>
      <c r="O198" s="8" t="s">
        <v>214</v>
      </c>
      <c r="P198" s="8" t="s">
        <v>216</v>
      </c>
      <c r="Q198" s="8" t="s">
        <v>217</v>
      </c>
      <c r="R198" s="8" t="s">
        <v>316</v>
      </c>
      <c r="S198" s="8"/>
      <c r="T198" s="8"/>
      <c r="U198" s="8" t="s">
        <v>262</v>
      </c>
      <c r="V198" s="8"/>
      <c r="W198" s="8" t="s">
        <v>306</v>
      </c>
      <c r="X198" s="8"/>
      <c r="Y198" s="8"/>
    </row>
    <row r="199" spans="1:25" hidden="1" x14ac:dyDescent="0.25">
      <c r="A199" s="283" t="s">
        <v>235</v>
      </c>
      <c r="B199" s="260">
        <v>45721</v>
      </c>
      <c r="C199" s="261" t="s">
        <v>417</v>
      </c>
      <c r="D199" s="261"/>
      <c r="E199" s="262">
        <v>0</v>
      </c>
      <c r="F199" s="262">
        <v>350000</v>
      </c>
      <c r="G199" s="285">
        <f>Tabla3[[#This Row],[INGRESOS]]-Tabla3[[#This Row],[EGRESOS]]</f>
        <v>350000</v>
      </c>
      <c r="H199" s="285"/>
      <c r="I199" s="135">
        <v>1140</v>
      </c>
      <c r="J199" s="136">
        <f>Tabla3[[#This Row],[EGRESOS]]/Tabla3[[#This Row],[TC]]</f>
        <v>0</v>
      </c>
      <c r="K199" s="136">
        <f>Tabla3[[#This Row],[INGRESOS]]/Tabla3[[#This Row],[TC]]</f>
        <v>307.01754385964909</v>
      </c>
      <c r="L199" s="8" t="s">
        <v>303</v>
      </c>
      <c r="M199" s="8" t="s">
        <v>304</v>
      </c>
      <c r="N199" s="8" t="s">
        <v>30</v>
      </c>
      <c r="O199" s="8" t="s">
        <v>184</v>
      </c>
      <c r="P199" s="8" t="s">
        <v>237</v>
      </c>
      <c r="Q199" s="8" t="s">
        <v>236</v>
      </c>
      <c r="R199" s="8" t="s">
        <v>418</v>
      </c>
      <c r="S199" s="8" t="s">
        <v>418</v>
      </c>
      <c r="T199" s="8"/>
      <c r="U199" s="7" t="s">
        <v>273</v>
      </c>
      <c r="V199" s="8"/>
      <c r="W199" s="8" t="s">
        <v>306</v>
      </c>
      <c r="X199" s="8" t="s">
        <v>23</v>
      </c>
      <c r="Y199" s="8" t="s">
        <v>39</v>
      </c>
    </row>
    <row r="200" spans="1:25" hidden="1" x14ac:dyDescent="0.25">
      <c r="A200" s="283" t="s">
        <v>235</v>
      </c>
      <c r="B200" s="260">
        <v>45721</v>
      </c>
      <c r="C200" s="261" t="s">
        <v>416</v>
      </c>
      <c r="D200" s="261"/>
      <c r="E200" s="262">
        <v>350000</v>
      </c>
      <c r="F200" s="262">
        <v>0</v>
      </c>
      <c r="G200" s="285">
        <f>Tabla3[[#This Row],[INGRESOS]]-Tabla3[[#This Row],[EGRESOS]]</f>
        <v>-350000</v>
      </c>
      <c r="H200" s="285"/>
      <c r="I200" s="135">
        <v>1140</v>
      </c>
      <c r="J200" s="136">
        <f>Tabla3[[#This Row],[EGRESOS]]/Tabla3[[#This Row],[TC]]</f>
        <v>307.01754385964909</v>
      </c>
      <c r="K200" s="136">
        <f>Tabla3[[#This Row],[INGRESOS]]/Tabla3[[#This Row],[TC]]</f>
        <v>0</v>
      </c>
      <c r="L200" s="8" t="s">
        <v>303</v>
      </c>
      <c r="M200" s="8" t="s">
        <v>304</v>
      </c>
      <c r="N200" s="8" t="s">
        <v>30</v>
      </c>
      <c r="O200" s="8" t="s">
        <v>214</v>
      </c>
      <c r="P200" s="8" t="s">
        <v>216</v>
      </c>
      <c r="Q200" s="8" t="s">
        <v>217</v>
      </c>
      <c r="R200" s="8" t="s">
        <v>316</v>
      </c>
      <c r="S200" s="8"/>
      <c r="T200" s="8"/>
      <c r="U200" s="8" t="s">
        <v>262</v>
      </c>
      <c r="V200" s="8"/>
      <c r="W200" s="8" t="s">
        <v>306</v>
      </c>
      <c r="X200" s="8"/>
      <c r="Y200" s="8"/>
    </row>
    <row r="201" spans="1:25" hidden="1" x14ac:dyDescent="0.25">
      <c r="A201" s="283" t="s">
        <v>235</v>
      </c>
      <c r="B201" s="260">
        <v>45721</v>
      </c>
      <c r="C201" s="261" t="s">
        <v>391</v>
      </c>
      <c r="D201" s="261"/>
      <c r="E201" s="262">
        <v>27000</v>
      </c>
      <c r="F201" s="262">
        <v>0</v>
      </c>
      <c r="G201" s="285">
        <f>Tabla3[[#This Row],[INGRESOS]]-Tabla3[[#This Row],[EGRESOS]]</f>
        <v>-27000</v>
      </c>
      <c r="H201" s="285"/>
      <c r="I201" s="135">
        <v>1140</v>
      </c>
      <c r="J201" s="136">
        <f>Tabla3[[#This Row],[EGRESOS]]/Tabla3[[#This Row],[TC]]</f>
        <v>23.684210526315791</v>
      </c>
      <c r="K201" s="136">
        <f>Tabla3[[#This Row],[INGRESOS]]/Tabla3[[#This Row],[TC]]</f>
        <v>0</v>
      </c>
      <c r="L201" s="8" t="s">
        <v>303</v>
      </c>
      <c r="M201" s="8" t="s">
        <v>304</v>
      </c>
      <c r="N201" s="8" t="s">
        <v>30</v>
      </c>
      <c r="O201" s="8" t="s">
        <v>184</v>
      </c>
      <c r="P201" s="8" t="s">
        <v>185</v>
      </c>
      <c r="Q201" s="8" t="s">
        <v>186</v>
      </c>
      <c r="R201" s="8"/>
      <c r="S201" s="8"/>
      <c r="T201" s="8"/>
      <c r="U201" s="7" t="s">
        <v>261</v>
      </c>
      <c r="V201" s="8"/>
      <c r="W201" s="8" t="s">
        <v>306</v>
      </c>
      <c r="X201" s="8" t="s">
        <v>98</v>
      </c>
      <c r="Y201" s="8" t="s">
        <v>23</v>
      </c>
    </row>
    <row r="202" spans="1:25" hidden="1" x14ac:dyDescent="0.25">
      <c r="A202" s="283" t="s">
        <v>235</v>
      </c>
      <c r="B202" s="260">
        <v>45721</v>
      </c>
      <c r="C202" s="261" t="s">
        <v>393</v>
      </c>
      <c r="D202" s="261"/>
      <c r="E202" s="262">
        <v>5670</v>
      </c>
      <c r="F202" s="262">
        <v>0</v>
      </c>
      <c r="G202" s="285">
        <f>Tabla3[[#This Row],[INGRESOS]]-Tabla3[[#This Row],[EGRESOS]]</f>
        <v>-5670</v>
      </c>
      <c r="H202" s="285"/>
      <c r="I202" s="135">
        <v>1140</v>
      </c>
      <c r="J202" s="136">
        <f>Tabla3[[#This Row],[EGRESOS]]/Tabla3[[#This Row],[TC]]</f>
        <v>4.9736842105263159</v>
      </c>
      <c r="K202" s="136">
        <f>Tabla3[[#This Row],[INGRESOS]]/Tabla3[[#This Row],[TC]]</f>
        <v>0</v>
      </c>
      <c r="L202" s="8" t="s">
        <v>303</v>
      </c>
      <c r="M202" s="8" t="s">
        <v>304</v>
      </c>
      <c r="N202" s="8" t="s">
        <v>30</v>
      </c>
      <c r="O202" s="8" t="s">
        <v>184</v>
      </c>
      <c r="P202" s="8" t="s">
        <v>187</v>
      </c>
      <c r="Q202" s="8" t="s">
        <v>188</v>
      </c>
      <c r="R202" s="8" t="s">
        <v>232</v>
      </c>
      <c r="S202" s="8"/>
      <c r="T202" s="8"/>
      <c r="U202" s="7" t="s">
        <v>261</v>
      </c>
      <c r="V202" s="8"/>
      <c r="W202" s="8" t="s">
        <v>306</v>
      </c>
      <c r="X202" s="8" t="s">
        <v>98</v>
      </c>
      <c r="Y202" s="8" t="s">
        <v>23</v>
      </c>
    </row>
    <row r="203" spans="1:25" hidden="1" x14ac:dyDescent="0.25">
      <c r="A203" s="283" t="s">
        <v>235</v>
      </c>
      <c r="B203" s="260">
        <v>45721</v>
      </c>
      <c r="C203" s="261" t="s">
        <v>394</v>
      </c>
      <c r="D203" s="261"/>
      <c r="E203" s="262">
        <v>810</v>
      </c>
      <c r="F203" s="262">
        <v>0</v>
      </c>
      <c r="G203" s="285">
        <f>Tabla3[[#This Row],[INGRESOS]]-Tabla3[[#This Row],[EGRESOS]]</f>
        <v>-810</v>
      </c>
      <c r="H203" s="285"/>
      <c r="I203" s="135">
        <v>1140</v>
      </c>
      <c r="J203" s="136">
        <f>Tabla3[[#This Row],[EGRESOS]]/Tabla3[[#This Row],[TC]]</f>
        <v>0.71052631578947367</v>
      </c>
      <c r="K203" s="136">
        <f>Tabla3[[#This Row],[INGRESOS]]/Tabla3[[#This Row],[TC]]</f>
        <v>0</v>
      </c>
      <c r="L203" s="8" t="s">
        <v>303</v>
      </c>
      <c r="M203" s="8" t="s">
        <v>304</v>
      </c>
      <c r="N203" s="8" t="s">
        <v>30</v>
      </c>
      <c r="O203" s="8" t="s">
        <v>184</v>
      </c>
      <c r="P203" s="8" t="s">
        <v>187</v>
      </c>
      <c r="Q203" s="8" t="s">
        <v>188</v>
      </c>
      <c r="R203" s="8" t="s">
        <v>395</v>
      </c>
      <c r="S203" s="8"/>
      <c r="T203" s="8"/>
      <c r="U203" s="7" t="s">
        <v>261</v>
      </c>
      <c r="V203" s="8"/>
      <c r="W203" s="8" t="s">
        <v>306</v>
      </c>
      <c r="X203" s="8" t="s">
        <v>98</v>
      </c>
      <c r="Y203" s="8" t="s">
        <v>23</v>
      </c>
    </row>
    <row r="204" spans="1:25" hidden="1" x14ac:dyDescent="0.25">
      <c r="A204" s="283" t="s">
        <v>235</v>
      </c>
      <c r="B204" s="260">
        <v>45721</v>
      </c>
      <c r="C204" s="261" t="s">
        <v>410</v>
      </c>
      <c r="D204" s="261"/>
      <c r="E204" s="262">
        <v>2100</v>
      </c>
      <c r="F204" s="262">
        <v>0</v>
      </c>
      <c r="G204" s="285">
        <f>Tabla3[[#This Row],[INGRESOS]]-Tabla3[[#This Row],[EGRESOS]]</f>
        <v>-2100</v>
      </c>
      <c r="H204" s="285"/>
      <c r="I204" s="135">
        <v>1140</v>
      </c>
      <c r="J204" s="136">
        <f>Tabla3[[#This Row],[EGRESOS]]/Tabla3[[#This Row],[TC]]</f>
        <v>1.8421052631578947</v>
      </c>
      <c r="K204" s="136">
        <f>Tabla3[[#This Row],[INGRESOS]]/Tabla3[[#This Row],[TC]]</f>
        <v>0</v>
      </c>
      <c r="L204" s="8" t="s">
        <v>303</v>
      </c>
      <c r="M204" s="8" t="s">
        <v>304</v>
      </c>
      <c r="N204" s="8" t="s">
        <v>30</v>
      </c>
      <c r="O204" s="8" t="s">
        <v>184</v>
      </c>
      <c r="P204" s="8" t="s">
        <v>187</v>
      </c>
      <c r="Q204" s="8" t="s">
        <v>188</v>
      </c>
      <c r="R204" s="8" t="s">
        <v>317</v>
      </c>
      <c r="S204" s="8"/>
      <c r="T204" s="8"/>
      <c r="U204" s="7" t="s">
        <v>261</v>
      </c>
      <c r="V204" s="8"/>
      <c r="W204" s="8" t="s">
        <v>306</v>
      </c>
      <c r="X204" s="8" t="s">
        <v>98</v>
      </c>
      <c r="Y204" s="8" t="s">
        <v>23</v>
      </c>
    </row>
    <row r="205" spans="1:25" hidden="1" x14ac:dyDescent="0.25">
      <c r="A205" s="283" t="s">
        <v>235</v>
      </c>
      <c r="B205" s="260">
        <v>45721</v>
      </c>
      <c r="C205" s="261" t="s">
        <v>396</v>
      </c>
      <c r="D205" s="261"/>
      <c r="E205" s="262">
        <v>162</v>
      </c>
      <c r="F205" s="262">
        <v>0</v>
      </c>
      <c r="G205" s="285">
        <f>Tabla3[[#This Row],[INGRESOS]]-Tabla3[[#This Row],[EGRESOS]]</f>
        <v>-162</v>
      </c>
      <c r="H205" s="285"/>
      <c r="I205" s="135">
        <v>1140</v>
      </c>
      <c r="J205" s="136">
        <f>Tabla3[[#This Row],[EGRESOS]]/Tabla3[[#This Row],[TC]]</f>
        <v>0.14210526315789473</v>
      </c>
      <c r="K205" s="136">
        <f>Tabla3[[#This Row],[INGRESOS]]/Tabla3[[#This Row],[TC]]</f>
        <v>0</v>
      </c>
      <c r="L205" s="8" t="s">
        <v>303</v>
      </c>
      <c r="M205" s="8" t="s">
        <v>304</v>
      </c>
      <c r="N205" s="8" t="s">
        <v>30</v>
      </c>
      <c r="O205" s="8" t="s">
        <v>184</v>
      </c>
      <c r="P205" s="8" t="s">
        <v>187</v>
      </c>
      <c r="Q205" s="8" t="s">
        <v>188</v>
      </c>
      <c r="R205" s="8" t="s">
        <v>317</v>
      </c>
      <c r="S205" s="8"/>
      <c r="T205" s="8"/>
      <c r="U205" s="7" t="s">
        <v>261</v>
      </c>
      <c r="V205" s="8"/>
      <c r="W205" s="8" t="s">
        <v>306</v>
      </c>
      <c r="X205" s="8" t="s">
        <v>98</v>
      </c>
      <c r="Y205" s="8" t="s">
        <v>23</v>
      </c>
    </row>
    <row r="206" spans="1:25" hidden="1" x14ac:dyDescent="0.25">
      <c r="A206" s="283" t="s">
        <v>235</v>
      </c>
      <c r="B206" s="260">
        <v>45721</v>
      </c>
      <c r="C206" s="261" t="s">
        <v>396</v>
      </c>
      <c r="D206" s="261"/>
      <c r="E206" s="262">
        <v>34.020000000000003</v>
      </c>
      <c r="F206" s="262">
        <v>0</v>
      </c>
      <c r="G206" s="285">
        <f>Tabla3[[#This Row],[INGRESOS]]-Tabla3[[#This Row],[EGRESOS]]</f>
        <v>-34.020000000000003</v>
      </c>
      <c r="H206" s="285"/>
      <c r="I206" s="135">
        <v>1140</v>
      </c>
      <c r="J206" s="136">
        <f>Tabla3[[#This Row],[EGRESOS]]/Tabla3[[#This Row],[TC]]</f>
        <v>2.9842105263157899E-2</v>
      </c>
      <c r="K206" s="136">
        <f>Tabla3[[#This Row],[INGRESOS]]/Tabla3[[#This Row],[TC]]</f>
        <v>0</v>
      </c>
      <c r="L206" s="8" t="s">
        <v>303</v>
      </c>
      <c r="M206" s="8" t="s">
        <v>304</v>
      </c>
      <c r="N206" s="8" t="s">
        <v>30</v>
      </c>
      <c r="O206" s="8" t="s">
        <v>184</v>
      </c>
      <c r="P206" s="8" t="s">
        <v>187</v>
      </c>
      <c r="Q206" s="8" t="s">
        <v>188</v>
      </c>
      <c r="R206" s="8" t="s">
        <v>317</v>
      </c>
      <c r="S206" s="8"/>
      <c r="T206" s="8"/>
      <c r="U206" s="8" t="s">
        <v>261</v>
      </c>
      <c r="V206" s="8"/>
      <c r="W206" s="8" t="s">
        <v>306</v>
      </c>
      <c r="X206" s="8" t="s">
        <v>98</v>
      </c>
      <c r="Y206" s="8" t="s">
        <v>23</v>
      </c>
    </row>
    <row r="207" spans="1:25" hidden="1" x14ac:dyDescent="0.25">
      <c r="A207" s="283" t="s">
        <v>235</v>
      </c>
      <c r="B207" s="260">
        <v>45721</v>
      </c>
      <c r="C207" s="261" t="s">
        <v>396</v>
      </c>
      <c r="D207" s="261"/>
      <c r="E207" s="262">
        <v>4.8600000000000003</v>
      </c>
      <c r="F207" s="262">
        <v>0</v>
      </c>
      <c r="G207" s="285">
        <f>Tabla3[[#This Row],[INGRESOS]]-Tabla3[[#This Row],[EGRESOS]]</f>
        <v>-4.8600000000000003</v>
      </c>
      <c r="H207" s="285"/>
      <c r="I207" s="135">
        <v>1140</v>
      </c>
      <c r="J207" s="136">
        <f>Tabla3[[#This Row],[EGRESOS]]/Tabla3[[#This Row],[TC]]</f>
        <v>4.263157894736842E-3</v>
      </c>
      <c r="K207" s="136">
        <f>Tabla3[[#This Row],[INGRESOS]]/Tabla3[[#This Row],[TC]]</f>
        <v>0</v>
      </c>
      <c r="L207" s="8" t="s">
        <v>303</v>
      </c>
      <c r="M207" s="8" t="s">
        <v>304</v>
      </c>
      <c r="N207" s="8" t="s">
        <v>30</v>
      </c>
      <c r="O207" s="8" t="s">
        <v>184</v>
      </c>
      <c r="P207" s="8" t="s">
        <v>187</v>
      </c>
      <c r="Q207" s="8" t="s">
        <v>188</v>
      </c>
      <c r="R207" s="8" t="s">
        <v>317</v>
      </c>
      <c r="S207" s="8"/>
      <c r="T207" s="8"/>
      <c r="U207" s="8" t="s">
        <v>261</v>
      </c>
      <c r="V207" s="8"/>
      <c r="W207" s="8" t="s">
        <v>306</v>
      </c>
      <c r="X207" s="8" t="s">
        <v>98</v>
      </c>
      <c r="Y207" s="8" t="s">
        <v>23</v>
      </c>
    </row>
    <row r="208" spans="1:25" hidden="1" x14ac:dyDescent="0.25">
      <c r="A208" s="283" t="s">
        <v>235</v>
      </c>
      <c r="B208" s="260">
        <v>45722</v>
      </c>
      <c r="C208" s="261" t="s">
        <v>417</v>
      </c>
      <c r="D208" s="261"/>
      <c r="E208" s="262">
        <v>0</v>
      </c>
      <c r="F208" s="262">
        <v>2700000</v>
      </c>
      <c r="G208" s="285">
        <f>Tabla3[[#This Row],[INGRESOS]]-Tabla3[[#This Row],[EGRESOS]]</f>
        <v>2700000</v>
      </c>
      <c r="H208" s="285"/>
      <c r="I208" s="135">
        <v>1140</v>
      </c>
      <c r="J208" s="136">
        <f>Tabla3[[#This Row],[EGRESOS]]/Tabla3[[#This Row],[TC]]</f>
        <v>0</v>
      </c>
      <c r="K208" s="136">
        <f>Tabla3[[#This Row],[INGRESOS]]/Tabla3[[#This Row],[TC]]</f>
        <v>2368.4210526315787</v>
      </c>
      <c r="L208" s="8" t="s">
        <v>303</v>
      </c>
      <c r="M208" s="8" t="s">
        <v>304</v>
      </c>
      <c r="N208" s="8" t="s">
        <v>30</v>
      </c>
      <c r="O208" s="8" t="s">
        <v>184</v>
      </c>
      <c r="P208" s="8" t="s">
        <v>194</v>
      </c>
      <c r="Q208" s="8" t="s">
        <v>236</v>
      </c>
      <c r="R208" s="8"/>
      <c r="S208" s="8" t="s">
        <v>311</v>
      </c>
      <c r="T208" s="8"/>
      <c r="U208" s="8" t="s">
        <v>272</v>
      </c>
      <c r="V208" s="8" t="s">
        <v>311</v>
      </c>
      <c r="W208" s="8" t="s">
        <v>306</v>
      </c>
      <c r="X208" s="8" t="s">
        <v>23</v>
      </c>
      <c r="Y208" s="8" t="s">
        <v>97</v>
      </c>
    </row>
    <row r="209" spans="1:25" hidden="1" x14ac:dyDescent="0.25">
      <c r="A209" s="283" t="s">
        <v>235</v>
      </c>
      <c r="B209" s="260">
        <v>45722</v>
      </c>
      <c r="C209" s="261" t="s">
        <v>416</v>
      </c>
      <c r="D209" s="261"/>
      <c r="E209" s="262">
        <v>2670000</v>
      </c>
      <c r="F209" s="262">
        <v>0</v>
      </c>
      <c r="G209" s="285">
        <f>Tabla3[[#This Row],[INGRESOS]]-Tabla3[[#This Row],[EGRESOS]]</f>
        <v>-2670000</v>
      </c>
      <c r="H209" s="285"/>
      <c r="I209" s="135">
        <v>1140</v>
      </c>
      <c r="J209" s="136">
        <f>Tabla3[[#This Row],[EGRESOS]]/Tabla3[[#This Row],[TC]]</f>
        <v>2342.1052631578946</v>
      </c>
      <c r="K209" s="136">
        <f>Tabla3[[#This Row],[INGRESOS]]/Tabla3[[#This Row],[TC]]</f>
        <v>0</v>
      </c>
      <c r="L209" s="8" t="s">
        <v>303</v>
      </c>
      <c r="M209" s="8" t="s">
        <v>304</v>
      </c>
      <c r="N209" s="8" t="s">
        <v>30</v>
      </c>
      <c r="O209" s="8" t="s">
        <v>214</v>
      </c>
      <c r="P209" s="8" t="s">
        <v>216</v>
      </c>
      <c r="Q209" s="8" t="s">
        <v>217</v>
      </c>
      <c r="R209" s="8" t="s">
        <v>316</v>
      </c>
      <c r="S209" s="8"/>
      <c r="T209" s="8"/>
      <c r="U209" s="8" t="s">
        <v>262</v>
      </c>
      <c r="V209" s="8"/>
      <c r="W209" s="8" t="s">
        <v>306</v>
      </c>
      <c r="X209" s="8"/>
      <c r="Y209" s="8"/>
    </row>
    <row r="210" spans="1:25" hidden="1" x14ac:dyDescent="0.25">
      <c r="A210" s="283" t="s">
        <v>235</v>
      </c>
      <c r="B210" s="260">
        <v>45722</v>
      </c>
      <c r="C210" s="261" t="s">
        <v>419</v>
      </c>
      <c r="D210" s="261"/>
      <c r="E210" s="262">
        <v>956</v>
      </c>
      <c r="F210" s="262">
        <v>0</v>
      </c>
      <c r="G210" s="285">
        <f>Tabla3[[#This Row],[INGRESOS]]-Tabla3[[#This Row],[EGRESOS]]</f>
        <v>-956</v>
      </c>
      <c r="H210" s="285"/>
      <c r="I210" s="135">
        <v>1140</v>
      </c>
      <c r="J210" s="136">
        <f>Tabla3[[#This Row],[EGRESOS]]/Tabla3[[#This Row],[TC]]</f>
        <v>0.83859649122807023</v>
      </c>
      <c r="K210" s="136">
        <f>Tabla3[[#This Row],[INGRESOS]]/Tabla3[[#This Row],[TC]]</f>
        <v>0</v>
      </c>
      <c r="L210" s="8" t="s">
        <v>303</v>
      </c>
      <c r="M210" s="8" t="s">
        <v>304</v>
      </c>
      <c r="N210" s="8" t="s">
        <v>30</v>
      </c>
      <c r="O210" s="8" t="s">
        <v>184</v>
      </c>
      <c r="P210" s="8" t="s">
        <v>185</v>
      </c>
      <c r="Q210" s="8" t="s">
        <v>186</v>
      </c>
      <c r="R210" s="8"/>
      <c r="S210" s="8"/>
      <c r="T210" s="8"/>
      <c r="U210" s="8" t="s">
        <v>261</v>
      </c>
      <c r="V210" s="8"/>
      <c r="W210" s="8" t="s">
        <v>306</v>
      </c>
      <c r="X210" s="8" t="s">
        <v>98</v>
      </c>
      <c r="Y210" s="8" t="s">
        <v>23</v>
      </c>
    </row>
    <row r="211" spans="1:25" hidden="1" x14ac:dyDescent="0.25">
      <c r="A211" s="283" t="s">
        <v>235</v>
      </c>
      <c r="B211" s="260">
        <v>45722</v>
      </c>
      <c r="C211" s="261" t="s">
        <v>393</v>
      </c>
      <c r="D211" s="261"/>
      <c r="E211" s="262">
        <v>200.76</v>
      </c>
      <c r="F211" s="262">
        <v>0</v>
      </c>
      <c r="G211" s="285">
        <f>Tabla3[[#This Row],[INGRESOS]]-Tabla3[[#This Row],[EGRESOS]]</f>
        <v>-200.76</v>
      </c>
      <c r="H211" s="285"/>
      <c r="I211" s="135">
        <v>1140</v>
      </c>
      <c r="J211" s="136">
        <f>Tabla3[[#This Row],[EGRESOS]]/Tabla3[[#This Row],[TC]]</f>
        <v>0.17610526315789474</v>
      </c>
      <c r="K211" s="136">
        <f>Tabla3[[#This Row],[INGRESOS]]/Tabla3[[#This Row],[TC]]</f>
        <v>0</v>
      </c>
      <c r="L211" s="8" t="s">
        <v>303</v>
      </c>
      <c r="M211" s="8" t="s">
        <v>304</v>
      </c>
      <c r="N211" s="8" t="s">
        <v>30</v>
      </c>
      <c r="O211" s="8" t="s">
        <v>184</v>
      </c>
      <c r="P211" s="8" t="s">
        <v>187</v>
      </c>
      <c r="Q211" s="8" t="s">
        <v>188</v>
      </c>
      <c r="R211" s="8" t="s">
        <v>308</v>
      </c>
      <c r="S211" s="8"/>
      <c r="T211" s="8"/>
      <c r="U211" s="8" t="s">
        <v>261</v>
      </c>
      <c r="V211" s="8"/>
      <c r="W211" s="8" t="s">
        <v>306</v>
      </c>
      <c r="X211" s="8" t="s">
        <v>98</v>
      </c>
      <c r="Y211" s="8" t="s">
        <v>23</v>
      </c>
    </row>
    <row r="212" spans="1:25" hidden="1" x14ac:dyDescent="0.25">
      <c r="A212" s="283" t="s">
        <v>235</v>
      </c>
      <c r="B212" s="260">
        <v>45722</v>
      </c>
      <c r="C212" s="261" t="s">
        <v>410</v>
      </c>
      <c r="D212" s="261"/>
      <c r="E212" s="262">
        <v>16200</v>
      </c>
      <c r="F212" s="262">
        <v>0</v>
      </c>
      <c r="G212" s="285">
        <f>Tabla3[[#This Row],[INGRESOS]]-Tabla3[[#This Row],[EGRESOS]]</f>
        <v>-16200</v>
      </c>
      <c r="H212" s="285"/>
      <c r="I212" s="135">
        <v>1140</v>
      </c>
      <c r="J212" s="136">
        <f>Tabla3[[#This Row],[EGRESOS]]/Tabla3[[#This Row],[TC]]</f>
        <v>14.210526315789474</v>
      </c>
      <c r="K212" s="136">
        <f>Tabla3[[#This Row],[INGRESOS]]/Tabla3[[#This Row],[TC]]</f>
        <v>0</v>
      </c>
      <c r="L212" s="8" t="s">
        <v>303</v>
      </c>
      <c r="M212" s="8" t="s">
        <v>304</v>
      </c>
      <c r="N212" s="8" t="s">
        <v>30</v>
      </c>
      <c r="O212" s="8" t="s">
        <v>184</v>
      </c>
      <c r="P212" s="8" t="s">
        <v>187</v>
      </c>
      <c r="Q212" s="8" t="s">
        <v>188</v>
      </c>
      <c r="R212" s="8" t="s">
        <v>317</v>
      </c>
      <c r="S212" s="8"/>
      <c r="T212" s="8"/>
      <c r="U212" s="8" t="s">
        <v>261</v>
      </c>
      <c r="V212" s="8"/>
      <c r="W212" s="8" t="s">
        <v>306</v>
      </c>
      <c r="X212" s="8" t="s">
        <v>98</v>
      </c>
      <c r="Y212" s="8" t="s">
        <v>23</v>
      </c>
    </row>
    <row r="213" spans="1:25" hidden="1" x14ac:dyDescent="0.25">
      <c r="A213" s="283" t="s">
        <v>235</v>
      </c>
      <c r="B213" s="260">
        <v>45722</v>
      </c>
      <c r="C213" s="261" t="s">
        <v>396</v>
      </c>
      <c r="D213" s="261"/>
      <c r="E213" s="262">
        <v>5.74</v>
      </c>
      <c r="F213" s="262">
        <v>0</v>
      </c>
      <c r="G213" s="285">
        <f>Tabla3[[#This Row],[INGRESOS]]-Tabla3[[#This Row],[EGRESOS]]</f>
        <v>-5.74</v>
      </c>
      <c r="H213" s="285"/>
      <c r="I213" s="135">
        <v>1140</v>
      </c>
      <c r="J213" s="136">
        <f>Tabla3[[#This Row],[EGRESOS]]/Tabla3[[#This Row],[TC]]</f>
        <v>5.0350877192982457E-3</v>
      </c>
      <c r="K213" s="136">
        <f>Tabla3[[#This Row],[INGRESOS]]/Tabla3[[#This Row],[TC]]</f>
        <v>0</v>
      </c>
      <c r="L213" s="8" t="s">
        <v>303</v>
      </c>
      <c r="M213" s="8" t="s">
        <v>304</v>
      </c>
      <c r="N213" s="8" t="s">
        <v>30</v>
      </c>
      <c r="O213" s="8" t="s">
        <v>184</v>
      </c>
      <c r="P213" s="8" t="s">
        <v>187</v>
      </c>
      <c r="Q213" s="8" t="s">
        <v>188</v>
      </c>
      <c r="R213" s="8" t="s">
        <v>317</v>
      </c>
      <c r="S213" s="8"/>
      <c r="T213" s="8"/>
      <c r="U213" s="8" t="s">
        <v>261</v>
      </c>
      <c r="V213" s="8"/>
      <c r="W213" s="8" t="s">
        <v>306</v>
      </c>
      <c r="X213" s="8" t="s">
        <v>98</v>
      </c>
      <c r="Y213" s="8" t="s">
        <v>23</v>
      </c>
    </row>
    <row r="214" spans="1:25" hidden="1" x14ac:dyDescent="0.25">
      <c r="A214" s="283" t="s">
        <v>235</v>
      </c>
      <c r="B214" s="260">
        <v>45722</v>
      </c>
      <c r="C214" s="261" t="s">
        <v>396</v>
      </c>
      <c r="D214" s="261"/>
      <c r="E214" s="262">
        <v>1.2</v>
      </c>
      <c r="F214" s="262">
        <v>0</v>
      </c>
      <c r="G214" s="285">
        <f>Tabla3[[#This Row],[INGRESOS]]-Tabla3[[#This Row],[EGRESOS]]</f>
        <v>-1.2</v>
      </c>
      <c r="H214" s="285"/>
      <c r="I214" s="135">
        <v>1140</v>
      </c>
      <c r="J214" s="136">
        <f>Tabla3[[#This Row],[EGRESOS]]/Tabla3[[#This Row],[TC]]</f>
        <v>1.0526315789473684E-3</v>
      </c>
      <c r="K214" s="136">
        <f>Tabla3[[#This Row],[INGRESOS]]/Tabla3[[#This Row],[TC]]</f>
        <v>0</v>
      </c>
      <c r="L214" s="8" t="s">
        <v>303</v>
      </c>
      <c r="M214" s="8" t="s">
        <v>304</v>
      </c>
      <c r="N214" s="8" t="s">
        <v>30</v>
      </c>
      <c r="O214" s="8" t="s">
        <v>184</v>
      </c>
      <c r="P214" s="8" t="s">
        <v>187</v>
      </c>
      <c r="Q214" s="8" t="s">
        <v>188</v>
      </c>
      <c r="R214" s="8" t="s">
        <v>317</v>
      </c>
      <c r="S214" s="8"/>
      <c r="T214" s="8"/>
      <c r="U214" s="8" t="s">
        <v>261</v>
      </c>
      <c r="V214" s="8"/>
      <c r="W214" s="8" t="s">
        <v>306</v>
      </c>
      <c r="X214" s="8" t="s">
        <v>98</v>
      </c>
      <c r="Y214" s="8" t="s">
        <v>23</v>
      </c>
    </row>
    <row r="215" spans="1:25" hidden="1" x14ac:dyDescent="0.25">
      <c r="A215" s="283" t="s">
        <v>235</v>
      </c>
      <c r="B215" s="260">
        <v>45723</v>
      </c>
      <c r="C215" s="261" t="s">
        <v>417</v>
      </c>
      <c r="D215" s="261"/>
      <c r="E215" s="262">
        <v>0</v>
      </c>
      <c r="F215" s="262">
        <v>1200000</v>
      </c>
      <c r="G215" s="285">
        <f>Tabla3[[#This Row],[INGRESOS]]-Tabla3[[#This Row],[EGRESOS]]</f>
        <v>1200000</v>
      </c>
      <c r="H215" s="285"/>
      <c r="I215" s="135">
        <v>1140</v>
      </c>
      <c r="J215" s="136">
        <f>Tabla3[[#This Row],[EGRESOS]]/Tabla3[[#This Row],[TC]]</f>
        <v>0</v>
      </c>
      <c r="K215" s="136">
        <f>Tabla3[[#This Row],[INGRESOS]]/Tabla3[[#This Row],[TC]]</f>
        <v>1052.6315789473683</v>
      </c>
      <c r="L215" s="8" t="s">
        <v>303</v>
      </c>
      <c r="M215" s="8" t="s">
        <v>304</v>
      </c>
      <c r="N215" s="8" t="s">
        <v>30</v>
      </c>
      <c r="O215" s="8" t="s">
        <v>184</v>
      </c>
      <c r="P215" s="8" t="s">
        <v>194</v>
      </c>
      <c r="Q215" s="8" t="s">
        <v>236</v>
      </c>
      <c r="R215" s="8" t="s">
        <v>420</v>
      </c>
      <c r="S215" s="8" t="s">
        <v>311</v>
      </c>
      <c r="T215" s="8"/>
      <c r="U215" s="8" t="s">
        <v>272</v>
      </c>
      <c r="V215" s="8" t="s">
        <v>311</v>
      </c>
      <c r="W215" s="8" t="s">
        <v>306</v>
      </c>
      <c r="X215" s="8" t="s">
        <v>23</v>
      </c>
      <c r="Y215" s="8" t="s">
        <v>97</v>
      </c>
    </row>
    <row r="216" spans="1:25" hidden="1" x14ac:dyDescent="0.25">
      <c r="A216" s="283" t="s">
        <v>235</v>
      </c>
      <c r="B216" s="260">
        <v>45723</v>
      </c>
      <c r="C216" s="261" t="s">
        <v>416</v>
      </c>
      <c r="D216" s="261"/>
      <c r="E216" s="262">
        <v>600000</v>
      </c>
      <c r="F216" s="262">
        <v>0</v>
      </c>
      <c r="G216" s="285">
        <f>Tabla3[[#This Row],[INGRESOS]]-Tabla3[[#This Row],[EGRESOS]]</f>
        <v>-600000</v>
      </c>
      <c r="H216" s="285"/>
      <c r="I216" s="135">
        <v>1140</v>
      </c>
      <c r="J216" s="136">
        <f>Tabla3[[#This Row],[EGRESOS]]/Tabla3[[#This Row],[TC]]</f>
        <v>526.31578947368416</v>
      </c>
      <c r="K216" s="136">
        <f>Tabla3[[#This Row],[INGRESOS]]/Tabla3[[#This Row],[TC]]</f>
        <v>0</v>
      </c>
      <c r="L216" s="8" t="s">
        <v>303</v>
      </c>
      <c r="M216" s="8" t="s">
        <v>304</v>
      </c>
      <c r="N216" s="8" t="s">
        <v>30</v>
      </c>
      <c r="O216" s="8" t="s">
        <v>214</v>
      </c>
      <c r="P216" s="8" t="s">
        <v>216</v>
      </c>
      <c r="Q216" s="8" t="s">
        <v>217</v>
      </c>
      <c r="R216" s="8" t="s">
        <v>357</v>
      </c>
      <c r="S216" s="8"/>
      <c r="T216" s="8"/>
      <c r="U216" s="8" t="s">
        <v>262</v>
      </c>
      <c r="V216" s="8"/>
      <c r="W216" s="8" t="s">
        <v>306</v>
      </c>
      <c r="X216" s="8"/>
      <c r="Y216" s="8"/>
    </row>
    <row r="217" spans="1:25" hidden="1" x14ac:dyDescent="0.25">
      <c r="A217" s="283" t="s">
        <v>235</v>
      </c>
      <c r="B217" s="260">
        <v>45723</v>
      </c>
      <c r="C217" s="261" t="s">
        <v>416</v>
      </c>
      <c r="D217" s="261"/>
      <c r="E217" s="262">
        <v>583000</v>
      </c>
      <c r="F217" s="262">
        <v>0</v>
      </c>
      <c r="G217" s="285">
        <f>Tabla3[[#This Row],[INGRESOS]]-Tabla3[[#This Row],[EGRESOS]]</f>
        <v>-583000</v>
      </c>
      <c r="H217" s="285"/>
      <c r="I217" s="135">
        <v>1140</v>
      </c>
      <c r="J217" s="136">
        <f>Tabla3[[#This Row],[EGRESOS]]/Tabla3[[#This Row],[TC]]</f>
        <v>511.40350877192981</v>
      </c>
      <c r="K217" s="136">
        <f>Tabla3[[#This Row],[INGRESOS]]/Tabla3[[#This Row],[TC]]</f>
        <v>0</v>
      </c>
      <c r="L217" s="8" t="s">
        <v>303</v>
      </c>
      <c r="M217" s="8" t="s">
        <v>304</v>
      </c>
      <c r="N217" s="8" t="s">
        <v>30</v>
      </c>
      <c r="O217" s="8" t="s">
        <v>214</v>
      </c>
      <c r="P217" s="8" t="s">
        <v>216</v>
      </c>
      <c r="Q217" s="8" t="s">
        <v>217</v>
      </c>
      <c r="R217" s="8" t="s">
        <v>316</v>
      </c>
      <c r="S217" s="8"/>
      <c r="T217" s="8"/>
      <c r="U217" s="8" t="s">
        <v>262</v>
      </c>
      <c r="V217" s="8"/>
      <c r="W217" s="8" t="s">
        <v>306</v>
      </c>
      <c r="X217" s="8"/>
      <c r="Y217" s="8"/>
    </row>
    <row r="218" spans="1:25" hidden="1" x14ac:dyDescent="0.25">
      <c r="A218" s="283" t="s">
        <v>235</v>
      </c>
      <c r="B218" s="260">
        <v>45723</v>
      </c>
      <c r="C218" s="261" t="s">
        <v>419</v>
      </c>
      <c r="D218" s="261"/>
      <c r="E218" s="262">
        <v>956</v>
      </c>
      <c r="F218" s="262">
        <v>0</v>
      </c>
      <c r="G218" s="285">
        <f>Tabla3[[#This Row],[INGRESOS]]-Tabla3[[#This Row],[EGRESOS]]</f>
        <v>-956</v>
      </c>
      <c r="H218" s="285"/>
      <c r="I218" s="135">
        <v>1140</v>
      </c>
      <c r="J218" s="136">
        <f>Tabla3[[#This Row],[EGRESOS]]/Tabla3[[#This Row],[TC]]</f>
        <v>0.83859649122807023</v>
      </c>
      <c r="K218" s="136">
        <f>Tabla3[[#This Row],[INGRESOS]]/Tabla3[[#This Row],[TC]]</f>
        <v>0</v>
      </c>
      <c r="L218" s="8" t="s">
        <v>303</v>
      </c>
      <c r="M218" s="8" t="s">
        <v>304</v>
      </c>
      <c r="N218" s="8" t="s">
        <v>30</v>
      </c>
      <c r="O218" s="8" t="s">
        <v>184</v>
      </c>
      <c r="P218" s="8" t="s">
        <v>185</v>
      </c>
      <c r="Q218" s="8" t="s">
        <v>186</v>
      </c>
      <c r="R218" s="8"/>
      <c r="S218" s="8"/>
      <c r="T218" s="8"/>
      <c r="U218" s="8" t="s">
        <v>261</v>
      </c>
      <c r="V218" s="8"/>
      <c r="W218" s="8" t="s">
        <v>306</v>
      </c>
      <c r="X218" s="8" t="s">
        <v>98</v>
      </c>
      <c r="Y218" s="8" t="s">
        <v>23</v>
      </c>
    </row>
    <row r="219" spans="1:25" hidden="1" x14ac:dyDescent="0.25">
      <c r="A219" s="283" t="s">
        <v>235</v>
      </c>
      <c r="B219" s="260">
        <v>45723</v>
      </c>
      <c r="C219" s="261" t="s">
        <v>393</v>
      </c>
      <c r="D219" s="261"/>
      <c r="E219" s="262">
        <v>200.76</v>
      </c>
      <c r="F219" s="262">
        <v>0</v>
      </c>
      <c r="G219" s="285">
        <f>Tabla3[[#This Row],[INGRESOS]]-Tabla3[[#This Row],[EGRESOS]]</f>
        <v>-200.76</v>
      </c>
      <c r="H219" s="285"/>
      <c r="I219" s="135">
        <v>1140</v>
      </c>
      <c r="J219" s="136">
        <f>Tabla3[[#This Row],[EGRESOS]]/Tabla3[[#This Row],[TC]]</f>
        <v>0.17610526315789474</v>
      </c>
      <c r="K219" s="136">
        <f>Tabla3[[#This Row],[INGRESOS]]/Tabla3[[#This Row],[TC]]</f>
        <v>0</v>
      </c>
      <c r="L219" s="8" t="s">
        <v>303</v>
      </c>
      <c r="M219" s="8" t="s">
        <v>304</v>
      </c>
      <c r="N219" s="8" t="s">
        <v>30</v>
      </c>
      <c r="O219" s="8" t="s">
        <v>184</v>
      </c>
      <c r="P219" s="8" t="s">
        <v>187</v>
      </c>
      <c r="Q219" s="8" t="s">
        <v>188</v>
      </c>
      <c r="R219" s="8" t="s">
        <v>232</v>
      </c>
      <c r="S219" s="8"/>
      <c r="T219" s="8"/>
      <c r="U219" s="8" t="s">
        <v>261</v>
      </c>
      <c r="V219" s="8"/>
      <c r="W219" s="8" t="s">
        <v>306</v>
      </c>
      <c r="X219" s="8" t="s">
        <v>98</v>
      </c>
      <c r="Y219" s="8" t="s">
        <v>23</v>
      </c>
    </row>
    <row r="220" spans="1:25" hidden="1" x14ac:dyDescent="0.25">
      <c r="A220" s="283" t="s">
        <v>235</v>
      </c>
      <c r="B220" s="260">
        <v>45723</v>
      </c>
      <c r="C220" s="261" t="s">
        <v>410</v>
      </c>
      <c r="D220" s="261"/>
      <c r="E220" s="262">
        <v>7200</v>
      </c>
      <c r="F220" s="262">
        <v>0</v>
      </c>
      <c r="G220" s="285">
        <f>Tabla3[[#This Row],[INGRESOS]]-Tabla3[[#This Row],[EGRESOS]]</f>
        <v>-7200</v>
      </c>
      <c r="H220" s="285"/>
      <c r="I220" s="135">
        <v>1140</v>
      </c>
      <c r="J220" s="136">
        <f>Tabla3[[#This Row],[EGRESOS]]/Tabla3[[#This Row],[TC]]</f>
        <v>6.3157894736842106</v>
      </c>
      <c r="K220" s="136">
        <f>Tabla3[[#This Row],[INGRESOS]]/Tabla3[[#This Row],[TC]]</f>
        <v>0</v>
      </c>
      <c r="L220" s="8" t="s">
        <v>303</v>
      </c>
      <c r="M220" s="8" t="s">
        <v>304</v>
      </c>
      <c r="N220" s="8" t="s">
        <v>30</v>
      </c>
      <c r="O220" s="8" t="s">
        <v>184</v>
      </c>
      <c r="P220" s="8" t="s">
        <v>187</v>
      </c>
      <c r="Q220" s="8" t="s">
        <v>188</v>
      </c>
      <c r="R220" s="8" t="s">
        <v>317</v>
      </c>
      <c r="S220" s="8"/>
      <c r="T220" s="8"/>
      <c r="U220" s="8" t="s">
        <v>261</v>
      </c>
      <c r="V220" s="8"/>
      <c r="W220" s="8" t="s">
        <v>306</v>
      </c>
      <c r="X220" s="8" t="s">
        <v>98</v>
      </c>
      <c r="Y220" s="8" t="s">
        <v>23</v>
      </c>
    </row>
    <row r="221" spans="1:25" hidden="1" x14ac:dyDescent="0.25">
      <c r="A221" s="283" t="s">
        <v>235</v>
      </c>
      <c r="B221" s="260">
        <v>45723</v>
      </c>
      <c r="C221" s="261" t="s">
        <v>396</v>
      </c>
      <c r="D221" s="261"/>
      <c r="E221" s="262">
        <v>5.74</v>
      </c>
      <c r="F221" s="262">
        <v>0</v>
      </c>
      <c r="G221" s="285">
        <f>Tabla3[[#This Row],[INGRESOS]]-Tabla3[[#This Row],[EGRESOS]]</f>
        <v>-5.74</v>
      </c>
      <c r="H221" s="285"/>
      <c r="I221" s="135">
        <v>1140</v>
      </c>
      <c r="J221" s="136">
        <f>Tabla3[[#This Row],[EGRESOS]]/Tabla3[[#This Row],[TC]]</f>
        <v>5.0350877192982457E-3</v>
      </c>
      <c r="K221" s="136">
        <f>Tabla3[[#This Row],[INGRESOS]]/Tabla3[[#This Row],[TC]]</f>
        <v>0</v>
      </c>
      <c r="L221" s="8" t="s">
        <v>303</v>
      </c>
      <c r="M221" s="8" t="s">
        <v>304</v>
      </c>
      <c r="N221" s="8" t="s">
        <v>30</v>
      </c>
      <c r="O221" s="8" t="s">
        <v>184</v>
      </c>
      <c r="P221" s="8" t="s">
        <v>187</v>
      </c>
      <c r="Q221" s="8" t="s">
        <v>188</v>
      </c>
      <c r="R221" s="8" t="s">
        <v>317</v>
      </c>
      <c r="S221" s="8"/>
      <c r="T221" s="8"/>
      <c r="U221" s="8" t="s">
        <v>261</v>
      </c>
      <c r="V221" s="8"/>
      <c r="W221" s="8" t="s">
        <v>306</v>
      </c>
      <c r="X221" s="8" t="s">
        <v>98</v>
      </c>
      <c r="Y221" s="8" t="s">
        <v>23</v>
      </c>
    </row>
    <row r="222" spans="1:25" hidden="1" x14ac:dyDescent="0.25">
      <c r="A222" s="283" t="s">
        <v>235</v>
      </c>
      <c r="B222" s="260">
        <v>45723</v>
      </c>
      <c r="C222" s="261" t="s">
        <v>396</v>
      </c>
      <c r="D222" s="261"/>
      <c r="E222" s="262">
        <v>1.2</v>
      </c>
      <c r="F222" s="262">
        <v>0</v>
      </c>
      <c r="G222" s="285">
        <f>Tabla3[[#This Row],[INGRESOS]]-Tabla3[[#This Row],[EGRESOS]]</f>
        <v>-1.2</v>
      </c>
      <c r="H222" s="285"/>
      <c r="I222" s="135">
        <v>1140</v>
      </c>
      <c r="J222" s="136">
        <f>Tabla3[[#This Row],[EGRESOS]]/Tabla3[[#This Row],[TC]]</f>
        <v>1.0526315789473684E-3</v>
      </c>
      <c r="K222" s="136">
        <f>Tabla3[[#This Row],[INGRESOS]]/Tabla3[[#This Row],[TC]]</f>
        <v>0</v>
      </c>
      <c r="L222" s="8" t="s">
        <v>303</v>
      </c>
      <c r="M222" s="8" t="s">
        <v>304</v>
      </c>
      <c r="N222" s="8" t="s">
        <v>30</v>
      </c>
      <c r="O222" s="8" t="s">
        <v>184</v>
      </c>
      <c r="P222" s="8" t="s">
        <v>187</v>
      </c>
      <c r="Q222" s="8" t="s">
        <v>188</v>
      </c>
      <c r="R222" s="8" t="s">
        <v>317</v>
      </c>
      <c r="S222" s="8"/>
      <c r="T222" s="8"/>
      <c r="U222" s="8" t="s">
        <v>261</v>
      </c>
      <c r="V222" s="8"/>
      <c r="W222" s="8" t="s">
        <v>306</v>
      </c>
      <c r="X222" s="8" t="s">
        <v>98</v>
      </c>
      <c r="Y222" s="8" t="s">
        <v>23</v>
      </c>
    </row>
    <row r="223" spans="1:25" hidden="1" x14ac:dyDescent="0.25">
      <c r="A223" s="283" t="s">
        <v>235</v>
      </c>
      <c r="B223" s="260">
        <v>45727</v>
      </c>
      <c r="C223" s="261" t="s">
        <v>397</v>
      </c>
      <c r="D223" s="261"/>
      <c r="E223" s="262">
        <v>500000</v>
      </c>
      <c r="F223" s="262">
        <v>0</v>
      </c>
      <c r="G223" s="285">
        <f>Tabla3[[#This Row],[INGRESOS]]-Tabla3[[#This Row],[EGRESOS]]</f>
        <v>-500000</v>
      </c>
      <c r="H223" s="285"/>
      <c r="I223" s="135">
        <v>1140</v>
      </c>
      <c r="J223" s="136">
        <f>Tabla3[[#This Row],[EGRESOS]]/Tabla3[[#This Row],[TC]]</f>
        <v>438.59649122807019</v>
      </c>
      <c r="K223" s="136">
        <f>Tabla3[[#This Row],[INGRESOS]]/Tabla3[[#This Row],[TC]]</f>
        <v>0</v>
      </c>
      <c r="L223" s="8" t="s">
        <v>303</v>
      </c>
      <c r="M223" s="8" t="s">
        <v>304</v>
      </c>
      <c r="N223" s="8" t="s">
        <v>30</v>
      </c>
      <c r="O223" s="8" t="s">
        <v>204</v>
      </c>
      <c r="P223" s="8" t="s">
        <v>210</v>
      </c>
      <c r="Q223" s="8" t="s">
        <v>33</v>
      </c>
      <c r="R223" s="8"/>
      <c r="S223" s="8" t="s">
        <v>398</v>
      </c>
      <c r="T223" s="358" t="s">
        <v>399</v>
      </c>
      <c r="U223" s="7" t="s">
        <v>258</v>
      </c>
      <c r="V223" s="8"/>
      <c r="W223" s="8" t="s">
        <v>306</v>
      </c>
      <c r="X223" s="8" t="s">
        <v>29</v>
      </c>
      <c r="Y223" s="8" t="s">
        <v>23</v>
      </c>
    </row>
    <row r="224" spans="1:25" hidden="1" x14ac:dyDescent="0.25">
      <c r="A224" s="283" t="s">
        <v>235</v>
      </c>
      <c r="B224" s="260">
        <v>45727</v>
      </c>
      <c r="C224" s="261" t="s">
        <v>421</v>
      </c>
      <c r="D224" s="261"/>
      <c r="E224" s="262">
        <v>0</v>
      </c>
      <c r="F224" s="262">
        <v>510000</v>
      </c>
      <c r="G224" s="285">
        <f>Tabla3[[#This Row],[INGRESOS]]-Tabla3[[#This Row],[EGRESOS]]</f>
        <v>510000</v>
      </c>
      <c r="H224" s="285"/>
      <c r="I224" s="135">
        <v>1140</v>
      </c>
      <c r="J224" s="136">
        <f>Tabla3[[#This Row],[EGRESOS]]/Tabla3[[#This Row],[TC]]</f>
        <v>0</v>
      </c>
      <c r="K224" s="136">
        <f>Tabla3[[#This Row],[INGRESOS]]/Tabla3[[#This Row],[TC]]</f>
        <v>447.36842105263156</v>
      </c>
      <c r="L224" s="8" t="s">
        <v>303</v>
      </c>
      <c r="M224" s="8" t="s">
        <v>304</v>
      </c>
      <c r="N224" s="8" t="s">
        <v>30</v>
      </c>
      <c r="O224" s="8" t="s">
        <v>184</v>
      </c>
      <c r="P224" s="8" t="s">
        <v>194</v>
      </c>
      <c r="Q224" s="8" t="s">
        <v>236</v>
      </c>
      <c r="R224" s="8"/>
      <c r="S224" s="8" t="s">
        <v>311</v>
      </c>
      <c r="T224" s="8"/>
      <c r="U224" s="8" t="s">
        <v>272</v>
      </c>
      <c r="V224" s="8" t="s">
        <v>311</v>
      </c>
      <c r="W224" s="8" t="s">
        <v>306</v>
      </c>
      <c r="X224" s="8" t="s">
        <v>23</v>
      </c>
      <c r="Y224" s="8" t="s">
        <v>97</v>
      </c>
    </row>
    <row r="225" spans="1:25" hidden="1" x14ac:dyDescent="0.25">
      <c r="A225" s="283" t="s">
        <v>235</v>
      </c>
      <c r="B225" s="260">
        <v>45727</v>
      </c>
      <c r="C225" s="261" t="s">
        <v>396</v>
      </c>
      <c r="D225" s="261"/>
      <c r="E225" s="262">
        <v>3000</v>
      </c>
      <c r="F225" s="262">
        <v>0</v>
      </c>
      <c r="G225" s="285">
        <f>Tabla3[[#This Row],[INGRESOS]]-Tabla3[[#This Row],[EGRESOS]]</f>
        <v>-3000</v>
      </c>
      <c r="H225" s="285"/>
      <c r="I225" s="135">
        <v>1140</v>
      </c>
      <c r="J225" s="136">
        <f>Tabla3[[#This Row],[EGRESOS]]/Tabla3[[#This Row],[TC]]</f>
        <v>2.6315789473684212</v>
      </c>
      <c r="K225" s="136">
        <f>Tabla3[[#This Row],[INGRESOS]]/Tabla3[[#This Row],[TC]]</f>
        <v>0</v>
      </c>
      <c r="L225" s="8" t="s">
        <v>303</v>
      </c>
      <c r="M225" s="8" t="s">
        <v>304</v>
      </c>
      <c r="N225" s="8" t="s">
        <v>30</v>
      </c>
      <c r="O225" s="8" t="s">
        <v>184</v>
      </c>
      <c r="P225" s="8" t="s">
        <v>187</v>
      </c>
      <c r="Q225" s="8" t="s">
        <v>188</v>
      </c>
      <c r="R225" s="8" t="s">
        <v>317</v>
      </c>
      <c r="S225" s="8"/>
      <c r="T225" s="8"/>
      <c r="U225" s="8" t="s">
        <v>261</v>
      </c>
      <c r="V225" s="8"/>
      <c r="W225" s="8" t="s">
        <v>306</v>
      </c>
      <c r="X225" s="8" t="s">
        <v>98</v>
      </c>
      <c r="Y225" s="8" t="s">
        <v>23</v>
      </c>
    </row>
    <row r="226" spans="1:25" hidden="1" x14ac:dyDescent="0.25">
      <c r="A226" s="283" t="s">
        <v>235</v>
      </c>
      <c r="B226" s="260">
        <v>45727</v>
      </c>
      <c r="C226" s="261" t="s">
        <v>410</v>
      </c>
      <c r="D226" s="261"/>
      <c r="E226" s="262">
        <v>3060</v>
      </c>
      <c r="F226" s="262">
        <v>0</v>
      </c>
      <c r="G226" s="285">
        <f>Tabla3[[#This Row],[INGRESOS]]-Tabla3[[#This Row],[EGRESOS]]</f>
        <v>-3060</v>
      </c>
      <c r="H226" s="285"/>
      <c r="I226" s="135">
        <v>1140</v>
      </c>
      <c r="J226" s="136">
        <f>Tabla3[[#This Row],[EGRESOS]]/Tabla3[[#This Row],[TC]]</f>
        <v>2.6842105263157894</v>
      </c>
      <c r="K226" s="136">
        <f>Tabla3[[#This Row],[INGRESOS]]/Tabla3[[#This Row],[TC]]</f>
        <v>0</v>
      </c>
      <c r="L226" s="8" t="s">
        <v>303</v>
      </c>
      <c r="M226" s="8" t="s">
        <v>304</v>
      </c>
      <c r="N226" s="8" t="s">
        <v>30</v>
      </c>
      <c r="O226" s="8" t="s">
        <v>184</v>
      </c>
      <c r="P226" s="8" t="s">
        <v>187</v>
      </c>
      <c r="Q226" s="8" t="s">
        <v>188</v>
      </c>
      <c r="R226" s="8" t="s">
        <v>317</v>
      </c>
      <c r="S226" s="8"/>
      <c r="T226" s="8"/>
      <c r="U226" s="8" t="s">
        <v>261</v>
      </c>
      <c r="V226" s="8"/>
      <c r="W226" s="8" t="s">
        <v>306</v>
      </c>
      <c r="X226" s="8" t="s">
        <v>98</v>
      </c>
      <c r="Y226" s="8" t="s">
        <v>23</v>
      </c>
    </row>
    <row r="227" spans="1:25" hidden="1" x14ac:dyDescent="0.25">
      <c r="A227" s="283" t="s">
        <v>235</v>
      </c>
      <c r="B227" s="260">
        <v>45728</v>
      </c>
      <c r="C227" s="261" t="s">
        <v>423</v>
      </c>
      <c r="D227" s="261"/>
      <c r="E227" s="262">
        <v>0</v>
      </c>
      <c r="F227" s="262">
        <v>6100</v>
      </c>
      <c r="G227" s="285">
        <f>Tabla3[[#This Row],[INGRESOS]]-Tabla3[[#This Row],[EGRESOS]]</f>
        <v>6100</v>
      </c>
      <c r="H227" s="285"/>
      <c r="I227" s="135">
        <v>1140</v>
      </c>
      <c r="J227" s="136">
        <f>Tabla3[[#This Row],[EGRESOS]]/Tabla3[[#This Row],[TC]]</f>
        <v>0</v>
      </c>
      <c r="K227" s="136">
        <f>Tabla3[[#This Row],[INGRESOS]]/Tabla3[[#This Row],[TC]]</f>
        <v>5.3508771929824563</v>
      </c>
      <c r="L227" s="8" t="s">
        <v>303</v>
      </c>
      <c r="M227" s="8" t="s">
        <v>304</v>
      </c>
      <c r="N227" s="8" t="s">
        <v>30</v>
      </c>
      <c r="O227" s="8" t="s">
        <v>214</v>
      </c>
      <c r="P227" s="8" t="s">
        <v>216</v>
      </c>
      <c r="Q227" s="8" t="s">
        <v>217</v>
      </c>
      <c r="R227" s="8" t="s">
        <v>360</v>
      </c>
      <c r="S227" s="8"/>
      <c r="T227" s="8"/>
      <c r="U227" s="8" t="s">
        <v>262</v>
      </c>
      <c r="V227" s="8"/>
      <c r="W227" s="8" t="s">
        <v>306</v>
      </c>
      <c r="X227" s="8"/>
      <c r="Y227" s="8"/>
    </row>
    <row r="228" spans="1:25" hidden="1" x14ac:dyDescent="0.25">
      <c r="A228" s="256" t="s">
        <v>225</v>
      </c>
      <c r="B228" s="257">
        <v>45705</v>
      </c>
      <c r="C228" s="250" t="s">
        <v>416</v>
      </c>
      <c r="D228" s="250"/>
      <c r="E228" s="258">
        <v>362000</v>
      </c>
      <c r="F228" s="258">
        <v>0</v>
      </c>
      <c r="G228" s="276">
        <f>Tabla3[[#This Row],[INGRESOS]]-Tabla3[[#This Row],[EGRESOS]]</f>
        <v>-362000</v>
      </c>
      <c r="H228" s="354"/>
      <c r="I228" s="119">
        <v>1140</v>
      </c>
      <c r="J228" s="99">
        <f>Tabla3[[#This Row],[EGRESOS]]/Tabla3[[#This Row],[TC]]</f>
        <v>317.54385964912279</v>
      </c>
      <c r="K228" s="99">
        <f>Tabla3[[#This Row],[INGRESOS]]/Tabla3[[#This Row],[TC]]</f>
        <v>0</v>
      </c>
      <c r="L228" s="7" t="s">
        <v>303</v>
      </c>
      <c r="M228" s="7" t="s">
        <v>304</v>
      </c>
      <c r="N228" s="7" t="s">
        <v>30</v>
      </c>
      <c r="O228" s="7" t="s">
        <v>184</v>
      </c>
      <c r="P228" s="7" t="s">
        <v>194</v>
      </c>
      <c r="Q228" s="7" t="s">
        <v>196</v>
      </c>
      <c r="R228" s="7" t="s">
        <v>411</v>
      </c>
      <c r="S228" s="8" t="s">
        <v>331</v>
      </c>
      <c r="T228" s="7"/>
      <c r="U228" s="8" t="s">
        <v>267</v>
      </c>
      <c r="V228" s="7" t="s">
        <v>332</v>
      </c>
      <c r="W228" s="7" t="s">
        <v>306</v>
      </c>
      <c r="X228" s="8" t="s">
        <v>101</v>
      </c>
      <c r="Y228" s="7" t="s">
        <v>23</v>
      </c>
    </row>
    <row r="229" spans="1:25" hidden="1" x14ac:dyDescent="0.25">
      <c r="A229" s="283" t="s">
        <v>235</v>
      </c>
      <c r="B229" s="260">
        <v>45728</v>
      </c>
      <c r="C229" s="261" t="s">
        <v>410</v>
      </c>
      <c r="D229" s="261"/>
      <c r="E229" s="262">
        <v>60</v>
      </c>
      <c r="F229" s="262">
        <v>0</v>
      </c>
      <c r="G229" s="285">
        <f>Tabla3[[#This Row],[INGRESOS]]-Tabla3[[#This Row],[EGRESOS]]</f>
        <v>-60</v>
      </c>
      <c r="H229" s="285"/>
      <c r="I229" s="135">
        <v>1140</v>
      </c>
      <c r="J229" s="136">
        <f>Tabla3[[#This Row],[EGRESOS]]/Tabla3[[#This Row],[TC]]</f>
        <v>5.2631578947368418E-2</v>
      </c>
      <c r="K229" s="136">
        <f>Tabla3[[#This Row],[INGRESOS]]/Tabla3[[#This Row],[TC]]</f>
        <v>0</v>
      </c>
      <c r="L229" s="8" t="s">
        <v>303</v>
      </c>
      <c r="M229" s="8" t="s">
        <v>304</v>
      </c>
      <c r="N229" s="8" t="s">
        <v>30</v>
      </c>
      <c r="O229" s="8" t="s">
        <v>184</v>
      </c>
      <c r="P229" s="8" t="s">
        <v>187</v>
      </c>
      <c r="Q229" s="8" t="s">
        <v>188</v>
      </c>
      <c r="R229" s="8" t="s">
        <v>317</v>
      </c>
      <c r="S229" s="8"/>
      <c r="T229" s="8"/>
      <c r="U229" s="8" t="s">
        <v>261</v>
      </c>
      <c r="V229" s="8"/>
      <c r="W229" s="8" t="s">
        <v>306</v>
      </c>
      <c r="X229" s="8" t="s">
        <v>98</v>
      </c>
      <c r="Y229" s="8" t="s">
        <v>23</v>
      </c>
    </row>
    <row r="230" spans="1:25" hidden="1" x14ac:dyDescent="0.25">
      <c r="A230" s="283" t="s">
        <v>235</v>
      </c>
      <c r="B230" s="260">
        <v>45728</v>
      </c>
      <c r="C230" s="261" t="s">
        <v>422</v>
      </c>
      <c r="D230" s="261"/>
      <c r="E230" s="262">
        <v>0</v>
      </c>
      <c r="F230" s="262">
        <v>10000</v>
      </c>
      <c r="G230" s="285">
        <f>Tabla3[[#This Row],[INGRESOS]]-Tabla3[[#This Row],[EGRESOS]]</f>
        <v>10000</v>
      </c>
      <c r="H230" s="285"/>
      <c r="I230" s="135">
        <v>1140</v>
      </c>
      <c r="J230" s="136">
        <f>Tabla3[[#This Row],[EGRESOS]]/Tabla3[[#This Row],[TC]]</f>
        <v>0</v>
      </c>
      <c r="K230" s="136">
        <f>Tabla3[[#This Row],[INGRESOS]]/Tabla3[[#This Row],[TC]]</f>
        <v>8.7719298245614041</v>
      </c>
      <c r="L230" s="8" t="s">
        <v>303</v>
      </c>
      <c r="M230" s="8" t="s">
        <v>304</v>
      </c>
      <c r="N230" s="8" t="s">
        <v>30</v>
      </c>
      <c r="O230" s="8" t="s">
        <v>184</v>
      </c>
      <c r="P230" s="8" t="s">
        <v>194</v>
      </c>
      <c r="Q230" s="8" t="s">
        <v>236</v>
      </c>
      <c r="R230" s="8"/>
      <c r="S230" s="8" t="s">
        <v>331</v>
      </c>
      <c r="T230" s="8"/>
      <c r="U230" s="8" t="s">
        <v>271</v>
      </c>
      <c r="V230" s="8" t="s">
        <v>332</v>
      </c>
      <c r="W230" s="8" t="s">
        <v>306</v>
      </c>
      <c r="X230" s="8" t="s">
        <v>23</v>
      </c>
      <c r="Y230" s="8" t="s">
        <v>97</v>
      </c>
    </row>
    <row r="231" spans="1:25" hidden="1" x14ac:dyDescent="0.25">
      <c r="A231" s="283" t="s">
        <v>235</v>
      </c>
      <c r="B231" s="260">
        <v>45734</v>
      </c>
      <c r="C231" s="261" t="s">
        <v>423</v>
      </c>
      <c r="D231" s="261"/>
      <c r="E231" s="262">
        <v>0</v>
      </c>
      <c r="F231" s="262">
        <v>500000</v>
      </c>
      <c r="G231" s="285">
        <f>Tabla3[[#This Row],[INGRESOS]]-Tabla3[[#This Row],[EGRESOS]]</f>
        <v>500000</v>
      </c>
      <c r="H231" s="285"/>
      <c r="I231" s="135">
        <v>1140</v>
      </c>
      <c r="J231" s="136">
        <f>Tabla3[[#This Row],[EGRESOS]]/Tabla3[[#This Row],[TC]]</f>
        <v>0</v>
      </c>
      <c r="K231" s="136">
        <f>Tabla3[[#This Row],[INGRESOS]]/Tabla3[[#This Row],[TC]]</f>
        <v>438.59649122807019</v>
      </c>
      <c r="L231" s="8" t="s">
        <v>303</v>
      </c>
      <c r="M231" s="8" t="s">
        <v>304</v>
      </c>
      <c r="N231" s="8" t="s">
        <v>30</v>
      </c>
      <c r="O231" s="8" t="s">
        <v>214</v>
      </c>
      <c r="P231" s="8" t="s">
        <v>216</v>
      </c>
      <c r="Q231" s="8" t="s">
        <v>217</v>
      </c>
      <c r="R231" s="8" t="s">
        <v>388</v>
      </c>
      <c r="S231" s="8"/>
      <c r="T231" s="8"/>
      <c r="U231" s="8" t="s">
        <v>262</v>
      </c>
      <c r="V231" s="8"/>
      <c r="W231" s="8"/>
      <c r="X231" s="8"/>
      <c r="Y231" s="8"/>
    </row>
    <row r="232" spans="1:25" hidden="1" x14ac:dyDescent="0.25">
      <c r="A232" s="283" t="s">
        <v>235</v>
      </c>
      <c r="B232" s="260">
        <v>45735</v>
      </c>
      <c r="C232" s="261" t="s">
        <v>416</v>
      </c>
      <c r="D232" s="261"/>
      <c r="E232" s="262">
        <v>500000</v>
      </c>
      <c r="F232" s="262">
        <v>0</v>
      </c>
      <c r="G232" s="285">
        <f>Tabla3[[#This Row],[INGRESOS]]-Tabla3[[#This Row],[EGRESOS]]</f>
        <v>-500000</v>
      </c>
      <c r="H232" s="285"/>
      <c r="I232" s="135">
        <v>1140</v>
      </c>
      <c r="J232" s="136">
        <f>Tabla3[[#This Row],[EGRESOS]]/Tabla3[[#This Row],[TC]]</f>
        <v>438.59649122807019</v>
      </c>
      <c r="K232" s="136">
        <f>Tabla3[[#This Row],[INGRESOS]]/Tabla3[[#This Row],[TC]]</f>
        <v>0</v>
      </c>
      <c r="L232" s="8" t="s">
        <v>303</v>
      </c>
      <c r="M232" s="8" t="s">
        <v>304</v>
      </c>
      <c r="N232" s="8" t="s">
        <v>30</v>
      </c>
      <c r="O232" s="8" t="s">
        <v>197</v>
      </c>
      <c r="P232" s="8" t="s">
        <v>238</v>
      </c>
      <c r="Q232" s="8" t="s">
        <v>239</v>
      </c>
      <c r="R232" s="8" t="s">
        <v>424</v>
      </c>
      <c r="S232" s="8" t="s">
        <v>425</v>
      </c>
      <c r="T232" s="8"/>
      <c r="U232" s="8" t="s">
        <v>259</v>
      </c>
      <c r="V232" s="8"/>
      <c r="W232" s="8" t="s">
        <v>392</v>
      </c>
      <c r="X232" s="8" t="s">
        <v>98</v>
      </c>
      <c r="Y232" s="8" t="s">
        <v>23</v>
      </c>
    </row>
    <row r="233" spans="1:25" hidden="1" x14ac:dyDescent="0.25">
      <c r="A233" s="283" t="s">
        <v>235</v>
      </c>
      <c r="B233" s="260">
        <v>45735</v>
      </c>
      <c r="C233" s="261" t="s">
        <v>396</v>
      </c>
      <c r="D233" s="261"/>
      <c r="E233" s="262">
        <v>3000</v>
      </c>
      <c r="F233" s="262">
        <v>0</v>
      </c>
      <c r="G233" s="285">
        <f>Tabla3[[#This Row],[INGRESOS]]-Tabla3[[#This Row],[EGRESOS]]</f>
        <v>-3000</v>
      </c>
      <c r="H233" s="285"/>
      <c r="I233" s="135">
        <v>1140</v>
      </c>
      <c r="J233" s="136">
        <f>Tabla3[[#This Row],[EGRESOS]]/Tabla3[[#This Row],[TC]]</f>
        <v>2.6315789473684212</v>
      </c>
      <c r="K233" s="136">
        <f>Tabla3[[#This Row],[INGRESOS]]/Tabla3[[#This Row],[TC]]</f>
        <v>0</v>
      </c>
      <c r="L233" s="8" t="s">
        <v>303</v>
      </c>
      <c r="M233" s="8" t="s">
        <v>304</v>
      </c>
      <c r="N233" s="8" t="s">
        <v>30</v>
      </c>
      <c r="O233" s="8" t="s">
        <v>184</v>
      </c>
      <c r="P233" s="8" t="s">
        <v>187</v>
      </c>
      <c r="Q233" s="8" t="s">
        <v>188</v>
      </c>
      <c r="R233" s="8" t="s">
        <v>317</v>
      </c>
      <c r="S233" s="8"/>
      <c r="T233" s="8"/>
      <c r="U233" s="8" t="s">
        <v>261</v>
      </c>
      <c r="V233" s="8"/>
      <c r="W233" s="8" t="s">
        <v>306</v>
      </c>
      <c r="X233" s="8" t="s">
        <v>98</v>
      </c>
      <c r="Y233" s="8" t="s">
        <v>23</v>
      </c>
    </row>
    <row r="234" spans="1:25" hidden="1" x14ac:dyDescent="0.25">
      <c r="A234" s="283" t="s">
        <v>235</v>
      </c>
      <c r="B234" s="260">
        <v>45737</v>
      </c>
      <c r="C234" s="261" t="s">
        <v>423</v>
      </c>
      <c r="D234" s="261"/>
      <c r="E234" s="262">
        <v>0</v>
      </c>
      <c r="F234" s="262">
        <v>550000</v>
      </c>
      <c r="G234" s="285">
        <f>Tabla3[[#This Row],[INGRESOS]]-Tabla3[[#This Row],[EGRESOS]]</f>
        <v>550000</v>
      </c>
      <c r="H234" s="285"/>
      <c r="I234" s="135">
        <v>1140</v>
      </c>
      <c r="J234" s="136">
        <f>Tabla3[[#This Row],[EGRESOS]]/Tabla3[[#This Row],[TC]]</f>
        <v>0</v>
      </c>
      <c r="K234" s="136">
        <f>Tabla3[[#This Row],[INGRESOS]]/Tabla3[[#This Row],[TC]]</f>
        <v>482.45614035087721</v>
      </c>
      <c r="L234" s="8" t="s">
        <v>303</v>
      </c>
      <c r="M234" s="8" t="s">
        <v>304</v>
      </c>
      <c r="N234" s="8" t="s">
        <v>30</v>
      </c>
      <c r="O234" s="8" t="s">
        <v>214</v>
      </c>
      <c r="P234" s="8" t="s">
        <v>216</v>
      </c>
      <c r="Q234" s="8" t="s">
        <v>217</v>
      </c>
      <c r="R234" s="8" t="s">
        <v>388</v>
      </c>
      <c r="S234" s="8"/>
      <c r="T234" s="8"/>
      <c r="U234" s="8" t="s">
        <v>262</v>
      </c>
      <c r="V234" s="8"/>
      <c r="W234" s="8" t="s">
        <v>306</v>
      </c>
      <c r="X234" s="8"/>
      <c r="Y234" s="8"/>
    </row>
    <row r="235" spans="1:25" hidden="1" x14ac:dyDescent="0.25">
      <c r="A235" s="283" t="s">
        <v>235</v>
      </c>
      <c r="B235" s="260">
        <v>45737</v>
      </c>
      <c r="C235" s="261" t="s">
        <v>396</v>
      </c>
      <c r="D235" s="261"/>
      <c r="E235" s="262">
        <v>3000</v>
      </c>
      <c r="F235" s="262">
        <v>0</v>
      </c>
      <c r="G235" s="285">
        <f>Tabla3[[#This Row],[INGRESOS]]-Tabla3[[#This Row],[EGRESOS]]</f>
        <v>-3000</v>
      </c>
      <c r="H235" s="285"/>
      <c r="I235" s="135">
        <v>1140</v>
      </c>
      <c r="J235" s="136">
        <f>Tabla3[[#This Row],[EGRESOS]]/Tabla3[[#This Row],[TC]]</f>
        <v>2.6315789473684212</v>
      </c>
      <c r="K235" s="136">
        <f>Tabla3[[#This Row],[INGRESOS]]/Tabla3[[#This Row],[TC]]</f>
        <v>0</v>
      </c>
      <c r="L235" s="8" t="s">
        <v>303</v>
      </c>
      <c r="M235" s="8" t="s">
        <v>304</v>
      </c>
      <c r="N235" s="8" t="s">
        <v>30</v>
      </c>
      <c r="O235" s="8" t="s">
        <v>184</v>
      </c>
      <c r="P235" s="8" t="s">
        <v>187</v>
      </c>
      <c r="Q235" s="8" t="s">
        <v>188</v>
      </c>
      <c r="R235" s="8" t="s">
        <v>308</v>
      </c>
      <c r="S235" s="8"/>
      <c r="T235" s="8"/>
      <c r="U235" s="8" t="s">
        <v>261</v>
      </c>
      <c r="V235" s="8"/>
      <c r="W235" s="8" t="s">
        <v>392</v>
      </c>
      <c r="X235" s="8" t="s">
        <v>98</v>
      </c>
      <c r="Y235" s="8" t="s">
        <v>23</v>
      </c>
    </row>
    <row r="236" spans="1:25" hidden="1" x14ac:dyDescent="0.25">
      <c r="A236" s="283" t="s">
        <v>235</v>
      </c>
      <c r="B236" s="260">
        <v>45743</v>
      </c>
      <c r="C236" s="261" t="s">
        <v>356</v>
      </c>
      <c r="D236" s="261"/>
      <c r="E236" s="262">
        <v>108737</v>
      </c>
      <c r="F236" s="262">
        <v>0</v>
      </c>
      <c r="G236" s="285">
        <f>Tabla3[[#This Row],[INGRESOS]]-Tabla3[[#This Row],[EGRESOS]]</f>
        <v>-108737</v>
      </c>
      <c r="H236" s="285"/>
      <c r="I236" s="135">
        <v>1140</v>
      </c>
      <c r="J236" s="136">
        <f>Tabla3[[#This Row],[EGRESOS]]/Tabla3[[#This Row],[TC]]</f>
        <v>95.38333333333334</v>
      </c>
      <c r="K236" s="136">
        <f>Tabla3[[#This Row],[INGRESOS]]/Tabla3[[#This Row],[TC]]</f>
        <v>0</v>
      </c>
      <c r="L236" s="8" t="s">
        <v>303</v>
      </c>
      <c r="M236" s="8" t="s">
        <v>304</v>
      </c>
      <c r="N236" s="8" t="s">
        <v>30</v>
      </c>
      <c r="O236" s="8" t="s">
        <v>184</v>
      </c>
      <c r="P236" s="8" t="s">
        <v>189</v>
      </c>
      <c r="Q236" s="8" t="s">
        <v>190</v>
      </c>
      <c r="R236" s="8"/>
      <c r="S236" s="8"/>
      <c r="T236" s="8"/>
      <c r="U236" s="8" t="s">
        <v>261</v>
      </c>
      <c r="V236" s="8"/>
      <c r="W236" s="8" t="s">
        <v>392</v>
      </c>
      <c r="X236" s="8" t="s">
        <v>98</v>
      </c>
      <c r="Y236" s="8" t="s">
        <v>23</v>
      </c>
    </row>
    <row r="237" spans="1:25" hidden="1" x14ac:dyDescent="0.25">
      <c r="A237" s="283" t="s">
        <v>235</v>
      </c>
      <c r="B237" s="260">
        <v>45743</v>
      </c>
      <c r="C237" s="261" t="s">
        <v>356</v>
      </c>
      <c r="D237" s="261"/>
      <c r="E237" s="262">
        <v>2885.64</v>
      </c>
      <c r="F237" s="262">
        <v>0</v>
      </c>
      <c r="G237" s="285">
        <f>Tabla3[[#This Row],[INGRESOS]]-Tabla3[[#This Row],[EGRESOS]]</f>
        <v>-2885.64</v>
      </c>
      <c r="H237" s="285"/>
      <c r="I237" s="135">
        <v>1140</v>
      </c>
      <c r="J237" s="136">
        <f>Tabla3[[#This Row],[EGRESOS]]/Tabla3[[#This Row],[TC]]</f>
        <v>2.5312631578947369</v>
      </c>
      <c r="K237" s="136">
        <f>Tabla3[[#This Row],[INGRESOS]]/Tabla3[[#This Row],[TC]]</f>
        <v>0</v>
      </c>
      <c r="L237" s="8" t="s">
        <v>303</v>
      </c>
      <c r="M237" s="8" t="s">
        <v>304</v>
      </c>
      <c r="N237" s="8" t="s">
        <v>30</v>
      </c>
      <c r="O237" s="8" t="s">
        <v>184</v>
      </c>
      <c r="P237" s="8" t="s">
        <v>189</v>
      </c>
      <c r="Q237" s="8" t="s">
        <v>190</v>
      </c>
      <c r="R237" s="8"/>
      <c r="S237" s="8"/>
      <c r="T237" s="8"/>
      <c r="U237" s="8" t="s">
        <v>261</v>
      </c>
      <c r="V237" s="8"/>
      <c r="W237" s="8" t="s">
        <v>392</v>
      </c>
      <c r="X237" s="8" t="s">
        <v>98</v>
      </c>
      <c r="Y237" s="8" t="s">
        <v>23</v>
      </c>
    </row>
    <row r="238" spans="1:25" hidden="1" x14ac:dyDescent="0.25">
      <c r="A238" s="283" t="s">
        <v>235</v>
      </c>
      <c r="B238" s="260">
        <v>45743</v>
      </c>
      <c r="C238" s="261" t="s">
        <v>423</v>
      </c>
      <c r="D238" s="261"/>
      <c r="E238" s="262">
        <v>0</v>
      </c>
      <c r="F238" s="262">
        <v>70000</v>
      </c>
      <c r="G238" s="285">
        <f>Tabla3[[#This Row],[INGRESOS]]-Tabla3[[#This Row],[EGRESOS]]</f>
        <v>70000</v>
      </c>
      <c r="H238" s="285"/>
      <c r="I238" s="135">
        <v>1140</v>
      </c>
      <c r="J238" s="136">
        <f>Tabla3[[#This Row],[EGRESOS]]/Tabla3[[#This Row],[TC]]</f>
        <v>0</v>
      </c>
      <c r="K238" s="136">
        <f>Tabla3[[#This Row],[INGRESOS]]/Tabla3[[#This Row],[TC]]</f>
        <v>61.403508771929822</v>
      </c>
      <c r="L238" s="8" t="s">
        <v>303</v>
      </c>
      <c r="M238" s="8" t="s">
        <v>304</v>
      </c>
      <c r="N238" s="8" t="s">
        <v>30</v>
      </c>
      <c r="O238" s="8" t="s">
        <v>214</v>
      </c>
      <c r="P238" s="8" t="s">
        <v>216</v>
      </c>
      <c r="Q238" s="8" t="s">
        <v>217</v>
      </c>
      <c r="R238" s="8" t="s">
        <v>388</v>
      </c>
      <c r="S238" s="8"/>
      <c r="T238" s="8"/>
      <c r="U238" s="8" t="s">
        <v>262</v>
      </c>
      <c r="V238" s="8"/>
      <c r="W238" s="8"/>
      <c r="X238" s="8"/>
      <c r="Y238" s="8"/>
    </row>
    <row r="239" spans="1:25" hidden="1" x14ac:dyDescent="0.25">
      <c r="A239" s="283" t="s">
        <v>235</v>
      </c>
      <c r="B239" s="260">
        <v>45743</v>
      </c>
      <c r="C239" s="261" t="s">
        <v>396</v>
      </c>
      <c r="D239" s="261"/>
      <c r="E239" s="262">
        <v>652.41999999999996</v>
      </c>
      <c r="F239" s="262">
        <v>0</v>
      </c>
      <c r="G239" s="285">
        <f>Tabla3[[#This Row],[INGRESOS]]-Tabla3[[#This Row],[EGRESOS]]</f>
        <v>-652.41999999999996</v>
      </c>
      <c r="H239" s="285"/>
      <c r="I239" s="135">
        <v>1140</v>
      </c>
      <c r="J239" s="136">
        <f>Tabla3[[#This Row],[EGRESOS]]/Tabla3[[#This Row],[TC]]</f>
        <v>0.57229824561403508</v>
      </c>
      <c r="K239" s="136">
        <f>Tabla3[[#This Row],[INGRESOS]]/Tabla3[[#This Row],[TC]]</f>
        <v>0</v>
      </c>
      <c r="L239" s="8" t="s">
        <v>303</v>
      </c>
      <c r="M239" s="8" t="s">
        <v>304</v>
      </c>
      <c r="N239" s="8" t="s">
        <v>30</v>
      </c>
      <c r="O239" s="8" t="s">
        <v>184</v>
      </c>
      <c r="P239" s="8" t="s">
        <v>187</v>
      </c>
      <c r="Q239" s="8" t="s">
        <v>188</v>
      </c>
      <c r="R239" s="8" t="s">
        <v>308</v>
      </c>
      <c r="S239" s="8"/>
      <c r="T239" s="8"/>
      <c r="U239" s="8" t="s">
        <v>261</v>
      </c>
      <c r="V239" s="8"/>
      <c r="W239" s="8" t="s">
        <v>306</v>
      </c>
      <c r="X239" s="8" t="s">
        <v>98</v>
      </c>
      <c r="Y239" s="8" t="s">
        <v>23</v>
      </c>
    </row>
    <row r="240" spans="1:25" hidden="1" x14ac:dyDescent="0.25">
      <c r="A240" s="283" t="s">
        <v>235</v>
      </c>
      <c r="B240" s="260">
        <v>45743</v>
      </c>
      <c r="C240" s="261" t="s">
        <v>396</v>
      </c>
      <c r="D240" s="261"/>
      <c r="E240" s="262">
        <v>17.309999999999999</v>
      </c>
      <c r="F240" s="262">
        <v>0</v>
      </c>
      <c r="G240" s="285">
        <f>Tabla3[[#This Row],[INGRESOS]]-Tabla3[[#This Row],[EGRESOS]]</f>
        <v>-17.309999999999999</v>
      </c>
      <c r="H240" s="285"/>
      <c r="I240" s="135">
        <v>1140</v>
      </c>
      <c r="J240" s="136">
        <f>Tabla3[[#This Row],[EGRESOS]]/Tabla3[[#This Row],[TC]]</f>
        <v>1.5184210526315788E-2</v>
      </c>
      <c r="K240" s="136">
        <f>Tabla3[[#This Row],[INGRESOS]]/Tabla3[[#This Row],[TC]]</f>
        <v>0</v>
      </c>
      <c r="L240" s="8" t="s">
        <v>303</v>
      </c>
      <c r="M240" s="8" t="s">
        <v>304</v>
      </c>
      <c r="N240" s="8" t="s">
        <v>30</v>
      </c>
      <c r="O240" s="8" t="s">
        <v>184</v>
      </c>
      <c r="P240" s="8" t="s">
        <v>187</v>
      </c>
      <c r="Q240" s="8" t="s">
        <v>188</v>
      </c>
      <c r="R240" s="8" t="s">
        <v>308</v>
      </c>
      <c r="S240" s="8"/>
      <c r="T240" s="8"/>
      <c r="U240" s="8" t="s">
        <v>261</v>
      </c>
      <c r="V240" s="8"/>
      <c r="W240" s="8" t="s">
        <v>306</v>
      </c>
      <c r="X240" s="8" t="s">
        <v>98</v>
      </c>
      <c r="Y240" s="8" t="s">
        <v>23</v>
      </c>
    </row>
    <row r="241" spans="1:25" hidden="1" x14ac:dyDescent="0.25">
      <c r="A241" s="283" t="s">
        <v>235</v>
      </c>
      <c r="B241" s="260">
        <v>45748</v>
      </c>
      <c r="C241" s="261" t="s">
        <v>391</v>
      </c>
      <c r="D241" s="261"/>
      <c r="E241" s="262">
        <v>27000</v>
      </c>
      <c r="F241" s="262">
        <v>0</v>
      </c>
      <c r="G241" s="285">
        <f>Tabla3[[#This Row],[INGRESOS]]-Tabla3[[#This Row],[EGRESOS]]</f>
        <v>-27000</v>
      </c>
      <c r="H241" s="285"/>
      <c r="I241" s="135">
        <v>1140</v>
      </c>
      <c r="J241" s="136">
        <f>Tabla3[[#This Row],[EGRESOS]]/Tabla3[[#This Row],[TC]]</f>
        <v>23.684210526315791</v>
      </c>
      <c r="K241" s="136">
        <f>Tabla3[[#This Row],[INGRESOS]]/Tabla3[[#This Row],[TC]]</f>
        <v>0</v>
      </c>
      <c r="L241" s="8" t="s">
        <v>303</v>
      </c>
      <c r="M241" s="8" t="s">
        <v>304</v>
      </c>
      <c r="N241" s="8" t="s">
        <v>30</v>
      </c>
      <c r="O241" s="8" t="s">
        <v>184</v>
      </c>
      <c r="P241" s="8" t="s">
        <v>185</v>
      </c>
      <c r="Q241" s="8" t="s">
        <v>186</v>
      </c>
      <c r="R241" s="8"/>
      <c r="S241" s="8"/>
      <c r="T241" s="8"/>
      <c r="U241" s="8" t="s">
        <v>261</v>
      </c>
      <c r="V241" s="8"/>
      <c r="W241" s="8" t="s">
        <v>306</v>
      </c>
      <c r="X241" s="8" t="s">
        <v>98</v>
      </c>
      <c r="Y241" s="8" t="s">
        <v>23</v>
      </c>
    </row>
    <row r="242" spans="1:25" hidden="1" x14ac:dyDescent="0.25">
      <c r="A242" s="283" t="s">
        <v>235</v>
      </c>
      <c r="B242" s="260">
        <v>45748</v>
      </c>
      <c r="C242" s="261" t="s">
        <v>393</v>
      </c>
      <c r="D242" s="261"/>
      <c r="E242" s="262">
        <v>5670</v>
      </c>
      <c r="F242" s="262">
        <v>0</v>
      </c>
      <c r="G242" s="285">
        <f>Tabla3[[#This Row],[INGRESOS]]-Tabla3[[#This Row],[EGRESOS]]</f>
        <v>-5670</v>
      </c>
      <c r="H242" s="285"/>
      <c r="I242" s="135">
        <v>1140</v>
      </c>
      <c r="J242" s="136">
        <f>Tabla3[[#This Row],[EGRESOS]]/Tabla3[[#This Row],[TC]]</f>
        <v>4.9736842105263159</v>
      </c>
      <c r="K242" s="136">
        <f>Tabla3[[#This Row],[INGRESOS]]/Tabla3[[#This Row],[TC]]</f>
        <v>0</v>
      </c>
      <c r="L242" s="8" t="s">
        <v>303</v>
      </c>
      <c r="M242" s="8" t="s">
        <v>304</v>
      </c>
      <c r="N242" s="8" t="s">
        <v>30</v>
      </c>
      <c r="O242" s="8" t="s">
        <v>184</v>
      </c>
      <c r="P242" s="8" t="s">
        <v>187</v>
      </c>
      <c r="Q242" s="8" t="s">
        <v>188</v>
      </c>
      <c r="R242" s="8" t="s">
        <v>308</v>
      </c>
      <c r="S242" s="8"/>
      <c r="T242" s="8"/>
      <c r="U242" s="8" t="s">
        <v>261</v>
      </c>
      <c r="V242" s="8"/>
      <c r="W242" s="8" t="s">
        <v>306</v>
      </c>
      <c r="X242" s="8" t="s">
        <v>98</v>
      </c>
      <c r="Y242" s="8" t="s">
        <v>23</v>
      </c>
    </row>
    <row r="243" spans="1:25" hidden="1" x14ac:dyDescent="0.25">
      <c r="A243" s="283" t="s">
        <v>235</v>
      </c>
      <c r="B243" s="260">
        <v>45748</v>
      </c>
      <c r="C243" s="261" t="s">
        <v>394</v>
      </c>
      <c r="D243" s="261"/>
      <c r="E243" s="262">
        <v>810</v>
      </c>
      <c r="F243" s="262">
        <v>0</v>
      </c>
      <c r="G243" s="285">
        <f>Tabla3[[#This Row],[INGRESOS]]-Tabla3[[#This Row],[EGRESOS]]</f>
        <v>-810</v>
      </c>
      <c r="H243" s="285"/>
      <c r="I243" s="135">
        <v>1140</v>
      </c>
      <c r="J243" s="136">
        <f>Tabla3[[#This Row],[EGRESOS]]/Tabla3[[#This Row],[TC]]</f>
        <v>0.71052631578947367</v>
      </c>
      <c r="K243" s="136">
        <f>Tabla3[[#This Row],[INGRESOS]]/Tabla3[[#This Row],[TC]]</f>
        <v>0</v>
      </c>
      <c r="L243" s="8" t="s">
        <v>303</v>
      </c>
      <c r="M243" s="8" t="s">
        <v>304</v>
      </c>
      <c r="N243" s="8" t="s">
        <v>30</v>
      </c>
      <c r="O243" s="8" t="s">
        <v>184</v>
      </c>
      <c r="P243" s="8" t="s">
        <v>187</v>
      </c>
      <c r="Q243" s="8" t="s">
        <v>188</v>
      </c>
      <c r="R243" s="8" t="s">
        <v>395</v>
      </c>
      <c r="S243" s="8"/>
      <c r="T243" s="8"/>
      <c r="U243" s="8" t="s">
        <v>261</v>
      </c>
      <c r="V243" s="8"/>
      <c r="W243" s="8" t="s">
        <v>306</v>
      </c>
      <c r="X243" s="8" t="s">
        <v>98</v>
      </c>
      <c r="Y243" s="8" t="s">
        <v>23</v>
      </c>
    </row>
    <row r="244" spans="1:25" hidden="1" x14ac:dyDescent="0.25">
      <c r="A244" s="283" t="s">
        <v>235</v>
      </c>
      <c r="B244" s="260">
        <v>45748</v>
      </c>
      <c r="C244" s="261" t="s">
        <v>396</v>
      </c>
      <c r="D244" s="261"/>
      <c r="E244" s="262">
        <v>162</v>
      </c>
      <c r="F244" s="262">
        <v>0</v>
      </c>
      <c r="G244" s="285">
        <f>Tabla3[[#This Row],[INGRESOS]]-Tabla3[[#This Row],[EGRESOS]]</f>
        <v>-162</v>
      </c>
      <c r="H244" s="285"/>
      <c r="I244" s="135">
        <v>1140</v>
      </c>
      <c r="J244" s="136">
        <f>Tabla3[[#This Row],[EGRESOS]]/Tabla3[[#This Row],[TC]]</f>
        <v>0.14210526315789473</v>
      </c>
      <c r="K244" s="136">
        <f>Tabla3[[#This Row],[INGRESOS]]/Tabla3[[#This Row],[TC]]</f>
        <v>0</v>
      </c>
      <c r="L244" s="8" t="s">
        <v>303</v>
      </c>
      <c r="M244" s="8" t="s">
        <v>304</v>
      </c>
      <c r="N244" s="8" t="s">
        <v>30</v>
      </c>
      <c r="O244" s="8" t="s">
        <v>184</v>
      </c>
      <c r="P244" s="8" t="s">
        <v>187</v>
      </c>
      <c r="Q244" s="8" t="s">
        <v>188</v>
      </c>
      <c r="R244" s="8" t="s">
        <v>317</v>
      </c>
      <c r="S244" s="8"/>
      <c r="T244" s="8"/>
      <c r="U244" s="8" t="s">
        <v>261</v>
      </c>
      <c r="V244" s="8"/>
      <c r="W244" s="8" t="s">
        <v>306</v>
      </c>
      <c r="X244" s="8" t="s">
        <v>98</v>
      </c>
      <c r="Y244" s="8" t="s">
        <v>23</v>
      </c>
    </row>
    <row r="245" spans="1:25" hidden="1" x14ac:dyDescent="0.25">
      <c r="A245" s="283" t="s">
        <v>235</v>
      </c>
      <c r="B245" s="260">
        <v>45748</v>
      </c>
      <c r="C245" s="261" t="s">
        <v>396</v>
      </c>
      <c r="D245" s="261"/>
      <c r="E245" s="262">
        <v>34.020000000000003</v>
      </c>
      <c r="F245" s="262">
        <v>0</v>
      </c>
      <c r="G245" s="285">
        <f>Tabla3[[#This Row],[INGRESOS]]-Tabla3[[#This Row],[EGRESOS]]</f>
        <v>-34.020000000000003</v>
      </c>
      <c r="H245" s="285"/>
      <c r="I245" s="135">
        <v>1140</v>
      </c>
      <c r="J245" s="136">
        <f>Tabla3[[#This Row],[EGRESOS]]/Tabla3[[#This Row],[TC]]</f>
        <v>2.9842105263157899E-2</v>
      </c>
      <c r="K245" s="136">
        <f>Tabla3[[#This Row],[INGRESOS]]/Tabla3[[#This Row],[TC]]</f>
        <v>0</v>
      </c>
      <c r="L245" s="8" t="s">
        <v>303</v>
      </c>
      <c r="M245" s="8" t="s">
        <v>304</v>
      </c>
      <c r="N245" s="8" t="s">
        <v>30</v>
      </c>
      <c r="O245" s="8" t="s">
        <v>184</v>
      </c>
      <c r="P245" s="8" t="s">
        <v>187</v>
      </c>
      <c r="Q245" s="8" t="s">
        <v>188</v>
      </c>
      <c r="R245" s="8" t="s">
        <v>317</v>
      </c>
      <c r="S245" s="8"/>
      <c r="T245" s="8"/>
      <c r="U245" s="8" t="s">
        <v>261</v>
      </c>
      <c r="V245" s="8"/>
      <c r="W245" s="8" t="s">
        <v>306</v>
      </c>
      <c r="X245" s="8" t="s">
        <v>98</v>
      </c>
      <c r="Y245" s="8" t="s">
        <v>23</v>
      </c>
    </row>
    <row r="246" spans="1:25" hidden="1" x14ac:dyDescent="0.25">
      <c r="A246" s="283" t="s">
        <v>235</v>
      </c>
      <c r="B246" s="260">
        <v>45748</v>
      </c>
      <c r="C246" s="261" t="s">
        <v>396</v>
      </c>
      <c r="D246" s="261"/>
      <c r="E246" s="262">
        <v>4.8600000000000003</v>
      </c>
      <c r="F246" s="262">
        <v>0</v>
      </c>
      <c r="G246" s="285">
        <f>Tabla3[[#This Row],[INGRESOS]]-Tabla3[[#This Row],[EGRESOS]]</f>
        <v>-4.8600000000000003</v>
      </c>
      <c r="H246" s="285"/>
      <c r="I246" s="135">
        <v>1140</v>
      </c>
      <c r="J246" s="136">
        <f>Tabla3[[#This Row],[EGRESOS]]/Tabla3[[#This Row],[TC]]</f>
        <v>4.263157894736842E-3</v>
      </c>
      <c r="K246" s="136">
        <f>Tabla3[[#This Row],[INGRESOS]]/Tabla3[[#This Row],[TC]]</f>
        <v>0</v>
      </c>
      <c r="L246" s="8" t="s">
        <v>303</v>
      </c>
      <c r="M246" s="8" t="s">
        <v>304</v>
      </c>
      <c r="N246" s="8" t="s">
        <v>30</v>
      </c>
      <c r="O246" s="8" t="s">
        <v>184</v>
      </c>
      <c r="P246" s="8" t="s">
        <v>187</v>
      </c>
      <c r="Q246" s="8" t="s">
        <v>188</v>
      </c>
      <c r="R246" s="8" t="s">
        <v>317</v>
      </c>
      <c r="S246" s="8"/>
      <c r="T246" s="8"/>
      <c r="U246" s="8" t="s">
        <v>261</v>
      </c>
      <c r="V246" s="8"/>
      <c r="W246" s="8" t="s">
        <v>306</v>
      </c>
      <c r="X246" s="8" t="s">
        <v>98</v>
      </c>
      <c r="Y246" s="8" t="s">
        <v>23</v>
      </c>
    </row>
    <row r="247" spans="1:25" hidden="1" x14ac:dyDescent="0.25">
      <c r="A247" s="283" t="str">
        <f t="shared" ref="A247:A278" si="0">"ABRIL"</f>
        <v>ABRIL</v>
      </c>
      <c r="B247" s="260">
        <v>45748</v>
      </c>
      <c r="C247" s="261" t="s">
        <v>391</v>
      </c>
      <c r="D247" s="261"/>
      <c r="E247" s="262">
        <v>27000</v>
      </c>
      <c r="F247" s="262">
        <v>0</v>
      </c>
      <c r="G247" s="285">
        <f>Tabla3[[#This Row],[INGRESOS]]-Tabla3[[#This Row],[EGRESOS]]</f>
        <v>-27000</v>
      </c>
      <c r="H247" s="285"/>
      <c r="I247" s="135">
        <v>1140</v>
      </c>
      <c r="J247" s="136">
        <f>Tabla3[[#This Row],[EGRESOS]]/Tabla3[[#This Row],[TC]]</f>
        <v>23.684210526315791</v>
      </c>
      <c r="K247" s="136">
        <f>Tabla3[[#This Row],[INGRESOS]]/Tabla3[[#This Row],[TC]]</f>
        <v>0</v>
      </c>
      <c r="L247" s="8" t="s">
        <v>303</v>
      </c>
      <c r="M247" s="8" t="s">
        <v>304</v>
      </c>
      <c r="N247" s="8" t="s">
        <v>30</v>
      </c>
      <c r="O247" s="8" t="s">
        <v>184</v>
      </c>
      <c r="P247" s="8" t="s">
        <v>185</v>
      </c>
      <c r="Q247" s="8" t="s">
        <v>186</v>
      </c>
      <c r="R247" s="8"/>
      <c r="S247" s="8"/>
      <c r="T247" s="8"/>
      <c r="U247" s="8" t="s">
        <v>261</v>
      </c>
      <c r="V247" s="8"/>
      <c r="W247" s="8" t="s">
        <v>306</v>
      </c>
      <c r="X247" s="8" t="s">
        <v>98</v>
      </c>
      <c r="Y247" s="8" t="s">
        <v>23</v>
      </c>
    </row>
    <row r="248" spans="1:25" hidden="1" x14ac:dyDescent="0.25">
      <c r="A248" s="283" t="str">
        <f t="shared" si="0"/>
        <v>ABRIL</v>
      </c>
      <c r="B248" s="260">
        <v>45748</v>
      </c>
      <c r="C248" s="261" t="s">
        <v>393</v>
      </c>
      <c r="D248" s="261"/>
      <c r="E248" s="262">
        <v>5670</v>
      </c>
      <c r="F248" s="262">
        <v>0</v>
      </c>
      <c r="G248" s="285">
        <f>Tabla3[[#This Row],[INGRESOS]]-Tabla3[[#This Row],[EGRESOS]]</f>
        <v>-5670</v>
      </c>
      <c r="H248" s="285"/>
      <c r="I248" s="135">
        <v>1140</v>
      </c>
      <c r="J248" s="136">
        <f>Tabla3[[#This Row],[EGRESOS]]/Tabla3[[#This Row],[TC]]</f>
        <v>4.9736842105263159</v>
      </c>
      <c r="K248" s="136">
        <f>Tabla3[[#This Row],[INGRESOS]]/Tabla3[[#This Row],[TC]]</f>
        <v>0</v>
      </c>
      <c r="L248" s="8" t="s">
        <v>303</v>
      </c>
      <c r="M248" s="8" t="s">
        <v>304</v>
      </c>
      <c r="N248" s="8" t="s">
        <v>30</v>
      </c>
      <c r="O248" s="8" t="s">
        <v>184</v>
      </c>
      <c r="P248" s="8" t="s">
        <v>187</v>
      </c>
      <c r="Q248" s="8" t="s">
        <v>188</v>
      </c>
      <c r="R248" s="8" t="s">
        <v>232</v>
      </c>
      <c r="S248" s="8"/>
      <c r="T248" s="8"/>
      <c r="U248" s="8" t="s">
        <v>261</v>
      </c>
      <c r="V248" s="8"/>
      <c r="W248" s="8" t="s">
        <v>306</v>
      </c>
      <c r="X248" s="8" t="s">
        <v>98</v>
      </c>
      <c r="Y248" s="8" t="s">
        <v>23</v>
      </c>
    </row>
    <row r="249" spans="1:25" hidden="1" x14ac:dyDescent="0.25">
      <c r="A249" s="283" t="str">
        <f t="shared" si="0"/>
        <v>ABRIL</v>
      </c>
      <c r="B249" s="260">
        <v>45748</v>
      </c>
      <c r="C249" s="261" t="s">
        <v>394</v>
      </c>
      <c r="D249" s="261"/>
      <c r="E249" s="262">
        <v>810</v>
      </c>
      <c r="F249" s="262">
        <v>0</v>
      </c>
      <c r="G249" s="285">
        <f>Tabla3[[#This Row],[INGRESOS]]-Tabla3[[#This Row],[EGRESOS]]</f>
        <v>-810</v>
      </c>
      <c r="H249" s="285"/>
      <c r="I249" s="135">
        <v>1140</v>
      </c>
      <c r="J249" s="136">
        <f>Tabla3[[#This Row],[EGRESOS]]/Tabla3[[#This Row],[TC]]</f>
        <v>0.71052631578947367</v>
      </c>
      <c r="K249" s="136">
        <f>Tabla3[[#This Row],[INGRESOS]]/Tabla3[[#This Row],[TC]]</f>
        <v>0</v>
      </c>
      <c r="L249" s="8" t="s">
        <v>303</v>
      </c>
      <c r="M249" s="8" t="s">
        <v>304</v>
      </c>
      <c r="N249" s="8" t="s">
        <v>30</v>
      </c>
      <c r="O249" s="8" t="s">
        <v>184</v>
      </c>
      <c r="P249" s="8" t="s">
        <v>187</v>
      </c>
      <c r="Q249" s="8" t="s">
        <v>188</v>
      </c>
      <c r="R249" s="8" t="s">
        <v>395</v>
      </c>
      <c r="S249" s="8"/>
      <c r="T249" s="8"/>
      <c r="U249" s="8" t="s">
        <v>261</v>
      </c>
      <c r="V249" s="8"/>
      <c r="W249" s="8" t="s">
        <v>306</v>
      </c>
      <c r="X249" s="8" t="s">
        <v>98</v>
      </c>
      <c r="Y249" s="8" t="s">
        <v>23</v>
      </c>
    </row>
    <row r="250" spans="1:25" hidden="1" x14ac:dyDescent="0.25">
      <c r="A250" s="283" t="str">
        <f t="shared" si="0"/>
        <v>ABRIL</v>
      </c>
      <c r="B250" s="260">
        <v>45748</v>
      </c>
      <c r="C250" s="261" t="s">
        <v>396</v>
      </c>
      <c r="D250" s="261"/>
      <c r="E250" s="262">
        <v>162</v>
      </c>
      <c r="F250" s="262">
        <v>0</v>
      </c>
      <c r="G250" s="285">
        <f>Tabla3[[#This Row],[INGRESOS]]-Tabla3[[#This Row],[EGRESOS]]</f>
        <v>-162</v>
      </c>
      <c r="H250" s="285"/>
      <c r="I250" s="135">
        <v>1140</v>
      </c>
      <c r="J250" s="136">
        <f>Tabla3[[#This Row],[EGRESOS]]/Tabla3[[#This Row],[TC]]</f>
        <v>0.14210526315789473</v>
      </c>
      <c r="K250" s="136">
        <f>Tabla3[[#This Row],[INGRESOS]]/Tabla3[[#This Row],[TC]]</f>
        <v>0</v>
      </c>
      <c r="L250" s="8" t="s">
        <v>303</v>
      </c>
      <c r="M250" s="8" t="s">
        <v>304</v>
      </c>
      <c r="N250" s="8" t="s">
        <v>30</v>
      </c>
      <c r="O250" s="8" t="s">
        <v>184</v>
      </c>
      <c r="P250" s="8" t="s">
        <v>187</v>
      </c>
      <c r="Q250" s="8" t="s">
        <v>188</v>
      </c>
      <c r="R250" s="8" t="s">
        <v>308</v>
      </c>
      <c r="S250" s="8"/>
      <c r="T250" s="8"/>
      <c r="U250" s="8" t="s">
        <v>261</v>
      </c>
      <c r="V250" s="8"/>
      <c r="W250" s="8" t="s">
        <v>306</v>
      </c>
      <c r="X250" s="8" t="s">
        <v>98</v>
      </c>
      <c r="Y250" s="8" t="s">
        <v>23</v>
      </c>
    </row>
    <row r="251" spans="1:25" hidden="1" x14ac:dyDescent="0.25">
      <c r="A251" s="283" t="str">
        <f t="shared" si="0"/>
        <v>ABRIL</v>
      </c>
      <c r="B251" s="260">
        <v>45748</v>
      </c>
      <c r="C251" s="261" t="s">
        <v>396</v>
      </c>
      <c r="D251" s="261"/>
      <c r="E251" s="262">
        <v>34.020000000000003</v>
      </c>
      <c r="F251" s="262">
        <v>0</v>
      </c>
      <c r="G251" s="285">
        <f>Tabla3[[#This Row],[INGRESOS]]-Tabla3[[#This Row],[EGRESOS]]</f>
        <v>-34.020000000000003</v>
      </c>
      <c r="H251" s="285"/>
      <c r="I251" s="135">
        <v>1140</v>
      </c>
      <c r="J251" s="136">
        <f>Tabla3[[#This Row],[EGRESOS]]/Tabla3[[#This Row],[TC]]</f>
        <v>2.9842105263157899E-2</v>
      </c>
      <c r="K251" s="136">
        <f>Tabla3[[#This Row],[INGRESOS]]/Tabla3[[#This Row],[TC]]</f>
        <v>0</v>
      </c>
      <c r="L251" s="8" t="s">
        <v>303</v>
      </c>
      <c r="M251" s="8" t="s">
        <v>304</v>
      </c>
      <c r="N251" s="8" t="s">
        <v>30</v>
      </c>
      <c r="O251" s="8" t="s">
        <v>184</v>
      </c>
      <c r="P251" s="8" t="s">
        <v>187</v>
      </c>
      <c r="Q251" s="8" t="s">
        <v>188</v>
      </c>
      <c r="R251" s="8" t="s">
        <v>308</v>
      </c>
      <c r="S251" s="8"/>
      <c r="T251" s="8"/>
      <c r="U251" s="8" t="s">
        <v>261</v>
      </c>
      <c r="V251" s="8"/>
      <c r="W251" s="8" t="s">
        <v>306</v>
      </c>
      <c r="X251" s="8" t="s">
        <v>98</v>
      </c>
      <c r="Y251" s="8" t="s">
        <v>23</v>
      </c>
    </row>
    <row r="252" spans="1:25" hidden="1" x14ac:dyDescent="0.25">
      <c r="A252" s="283" t="str">
        <f t="shared" si="0"/>
        <v>ABRIL</v>
      </c>
      <c r="B252" s="260">
        <v>45748</v>
      </c>
      <c r="C252" s="261" t="s">
        <v>396</v>
      </c>
      <c r="D252" s="261"/>
      <c r="E252" s="262">
        <v>4.8600000000000003</v>
      </c>
      <c r="F252" s="262">
        <v>0</v>
      </c>
      <c r="G252" s="285">
        <f>Tabla3[[#This Row],[INGRESOS]]-Tabla3[[#This Row],[EGRESOS]]</f>
        <v>-4.8600000000000003</v>
      </c>
      <c r="H252" s="285"/>
      <c r="I252" s="135">
        <v>1140</v>
      </c>
      <c r="J252" s="136">
        <f>Tabla3[[#This Row],[EGRESOS]]/Tabla3[[#This Row],[TC]]</f>
        <v>4.263157894736842E-3</v>
      </c>
      <c r="K252" s="136">
        <f>Tabla3[[#This Row],[INGRESOS]]/Tabla3[[#This Row],[TC]]</f>
        <v>0</v>
      </c>
      <c r="L252" s="8" t="s">
        <v>303</v>
      </c>
      <c r="M252" s="8" t="s">
        <v>304</v>
      </c>
      <c r="N252" s="8" t="s">
        <v>30</v>
      </c>
      <c r="O252" s="8" t="s">
        <v>184</v>
      </c>
      <c r="P252" s="8" t="s">
        <v>187</v>
      </c>
      <c r="Q252" s="8" t="s">
        <v>188</v>
      </c>
      <c r="R252" s="8" t="s">
        <v>308</v>
      </c>
      <c r="S252" s="8"/>
      <c r="T252" s="8"/>
      <c r="U252" s="8" t="s">
        <v>261</v>
      </c>
      <c r="V252" s="8"/>
      <c r="W252" s="8" t="s">
        <v>306</v>
      </c>
      <c r="X252" s="8" t="s">
        <v>98</v>
      </c>
      <c r="Y252" s="8" t="s">
        <v>23</v>
      </c>
    </row>
    <row r="253" spans="1:25" hidden="1" x14ac:dyDescent="0.25">
      <c r="A253" s="283" t="str">
        <f t="shared" si="0"/>
        <v>ABRIL</v>
      </c>
      <c r="B253" s="260">
        <v>45751</v>
      </c>
      <c r="C253" s="261" t="s">
        <v>417</v>
      </c>
      <c r="D253" s="261"/>
      <c r="E253" s="262">
        <v>0</v>
      </c>
      <c r="F253" s="262">
        <v>550000</v>
      </c>
      <c r="G253" s="285">
        <f>Tabla3[[#This Row],[INGRESOS]]-Tabla3[[#This Row],[EGRESOS]]</f>
        <v>550000</v>
      </c>
      <c r="H253" s="285"/>
      <c r="I253" s="135">
        <v>1140</v>
      </c>
      <c r="J253" s="136">
        <f>Tabla3[[#This Row],[EGRESOS]]/Tabla3[[#This Row],[TC]]</f>
        <v>0</v>
      </c>
      <c r="K253" s="136">
        <f>Tabla3[[#This Row],[INGRESOS]]/Tabla3[[#This Row],[TC]]</f>
        <v>482.45614035087721</v>
      </c>
      <c r="L253" s="8" t="s">
        <v>303</v>
      </c>
      <c r="M253" s="8" t="s">
        <v>304</v>
      </c>
      <c r="N253" s="8" t="s">
        <v>30</v>
      </c>
      <c r="O253" s="8" t="s">
        <v>184</v>
      </c>
      <c r="P253" s="8" t="s">
        <v>237</v>
      </c>
      <c r="Q253" s="8" t="s">
        <v>236</v>
      </c>
      <c r="R253" s="8" t="s">
        <v>426</v>
      </c>
      <c r="S253" s="8" t="s">
        <v>418</v>
      </c>
      <c r="T253" s="8"/>
      <c r="U253" s="8" t="s">
        <v>273</v>
      </c>
      <c r="V253" s="8"/>
      <c r="W253" s="8" t="s">
        <v>306</v>
      </c>
      <c r="X253" s="8" t="s">
        <v>23</v>
      </c>
      <c r="Y253" s="8" t="s">
        <v>39</v>
      </c>
    </row>
    <row r="254" spans="1:25" hidden="1" x14ac:dyDescent="0.25">
      <c r="A254" s="283" t="str">
        <f t="shared" si="0"/>
        <v>ABRIL</v>
      </c>
      <c r="B254" s="260">
        <v>45751</v>
      </c>
      <c r="C254" s="261" t="s">
        <v>416</v>
      </c>
      <c r="D254" s="261"/>
      <c r="E254" s="262">
        <v>520000</v>
      </c>
      <c r="F254" s="262">
        <v>0</v>
      </c>
      <c r="G254" s="285">
        <f>Tabla3[[#This Row],[INGRESOS]]-Tabla3[[#This Row],[EGRESOS]]</f>
        <v>-520000</v>
      </c>
      <c r="H254" s="285"/>
      <c r="I254" s="135">
        <v>1140</v>
      </c>
      <c r="J254" s="136">
        <f>Tabla3[[#This Row],[EGRESOS]]/Tabla3[[#This Row],[TC]]</f>
        <v>456.14035087719299</v>
      </c>
      <c r="K254" s="136">
        <f>Tabla3[[#This Row],[INGRESOS]]/Tabla3[[#This Row],[TC]]</f>
        <v>0</v>
      </c>
      <c r="L254" s="8" t="s">
        <v>303</v>
      </c>
      <c r="M254" s="8" t="s">
        <v>304</v>
      </c>
      <c r="N254" s="8" t="s">
        <v>30</v>
      </c>
      <c r="O254" s="8" t="s">
        <v>214</v>
      </c>
      <c r="P254" s="8" t="s">
        <v>216</v>
      </c>
      <c r="Q254" s="8" t="s">
        <v>217</v>
      </c>
      <c r="R254" s="8" t="s">
        <v>305</v>
      </c>
      <c r="S254" s="8"/>
      <c r="T254" s="8"/>
      <c r="U254" s="8" t="s">
        <v>262</v>
      </c>
      <c r="V254" s="8"/>
      <c r="W254" s="8" t="s">
        <v>306</v>
      </c>
      <c r="X254" s="8"/>
      <c r="Y254" s="8"/>
    </row>
    <row r="255" spans="1:25" hidden="1" x14ac:dyDescent="0.25">
      <c r="A255" s="283" t="str">
        <f t="shared" si="0"/>
        <v>ABRIL</v>
      </c>
      <c r="B255" s="260">
        <v>45751</v>
      </c>
      <c r="C255" s="261" t="s">
        <v>410</v>
      </c>
      <c r="D255" s="261"/>
      <c r="E255" s="262">
        <v>3300</v>
      </c>
      <c r="F255" s="262">
        <v>0</v>
      </c>
      <c r="G255" s="285">
        <f>Tabla3[[#This Row],[INGRESOS]]-Tabla3[[#This Row],[EGRESOS]]</f>
        <v>-3300</v>
      </c>
      <c r="H255" s="285"/>
      <c r="I255" s="135">
        <v>1140</v>
      </c>
      <c r="J255" s="136">
        <f>Tabla3[[#This Row],[EGRESOS]]/Tabla3[[#This Row],[TC]]</f>
        <v>2.8947368421052633</v>
      </c>
      <c r="K255" s="136">
        <f>Tabla3[[#This Row],[INGRESOS]]/Tabla3[[#This Row],[TC]]</f>
        <v>0</v>
      </c>
      <c r="L255" s="8" t="s">
        <v>303</v>
      </c>
      <c r="M255" s="8" t="s">
        <v>304</v>
      </c>
      <c r="N255" s="8" t="s">
        <v>30</v>
      </c>
      <c r="O255" s="8" t="s">
        <v>184</v>
      </c>
      <c r="P255" s="8" t="s">
        <v>187</v>
      </c>
      <c r="Q255" s="8" t="s">
        <v>188</v>
      </c>
      <c r="R255" s="8" t="s">
        <v>317</v>
      </c>
      <c r="S255" s="8"/>
      <c r="T255" s="8"/>
      <c r="U255" s="8" t="s">
        <v>261</v>
      </c>
      <c r="V255" s="8"/>
      <c r="W255" s="8" t="s">
        <v>306</v>
      </c>
      <c r="X255" s="8" t="s">
        <v>98</v>
      </c>
      <c r="Y255" s="8" t="s">
        <v>23</v>
      </c>
    </row>
    <row r="256" spans="1:25" hidden="1" x14ac:dyDescent="0.25">
      <c r="A256" s="283" t="str">
        <f t="shared" si="0"/>
        <v>ABRIL</v>
      </c>
      <c r="B256" s="260">
        <v>45754</v>
      </c>
      <c r="C256" s="261" t="s">
        <v>427</v>
      </c>
      <c r="D256" s="261"/>
      <c r="E256" s="262">
        <v>956</v>
      </c>
      <c r="F256" s="262">
        <v>0</v>
      </c>
      <c r="G256" s="285">
        <f>Tabla3[[#This Row],[INGRESOS]]-Tabla3[[#This Row],[EGRESOS]]</f>
        <v>-956</v>
      </c>
      <c r="H256" s="285"/>
      <c r="I256" s="135">
        <v>1140</v>
      </c>
      <c r="J256" s="136">
        <f>Tabla3[[#This Row],[EGRESOS]]/Tabla3[[#This Row],[TC]]</f>
        <v>0.83859649122807023</v>
      </c>
      <c r="K256" s="136">
        <f>Tabla3[[#This Row],[INGRESOS]]/Tabla3[[#This Row],[TC]]</f>
        <v>0</v>
      </c>
      <c r="L256" s="8" t="s">
        <v>303</v>
      </c>
      <c r="M256" s="8" t="s">
        <v>304</v>
      </c>
      <c r="N256" s="8" t="s">
        <v>30</v>
      </c>
      <c r="O256" s="8" t="s">
        <v>184</v>
      </c>
      <c r="P256" s="8" t="s">
        <v>185</v>
      </c>
      <c r="Q256" s="8" t="s">
        <v>186</v>
      </c>
      <c r="R256" s="8"/>
      <c r="S256" s="8"/>
      <c r="T256" s="8"/>
      <c r="U256" s="8" t="s">
        <v>261</v>
      </c>
      <c r="V256" s="8"/>
      <c r="W256" s="8" t="s">
        <v>306</v>
      </c>
      <c r="X256" s="8" t="s">
        <v>98</v>
      </c>
      <c r="Y256" s="8" t="s">
        <v>23</v>
      </c>
    </row>
    <row r="257" spans="1:25" hidden="1" x14ac:dyDescent="0.25">
      <c r="A257" s="283" t="str">
        <f t="shared" si="0"/>
        <v>ABRIL</v>
      </c>
      <c r="B257" s="260">
        <v>45754</v>
      </c>
      <c r="C257" s="261" t="s">
        <v>393</v>
      </c>
      <c r="D257" s="261"/>
      <c r="E257" s="262">
        <v>200.76</v>
      </c>
      <c r="F257" s="262">
        <v>0</v>
      </c>
      <c r="G257" s="285">
        <f>Tabla3[[#This Row],[INGRESOS]]-Tabla3[[#This Row],[EGRESOS]]</f>
        <v>-200.76</v>
      </c>
      <c r="H257" s="285"/>
      <c r="I257" s="135">
        <v>1140</v>
      </c>
      <c r="J257" s="136">
        <f>Tabla3[[#This Row],[EGRESOS]]/Tabla3[[#This Row],[TC]]</f>
        <v>0.17610526315789474</v>
      </c>
      <c r="K257" s="136">
        <f>Tabla3[[#This Row],[INGRESOS]]/Tabla3[[#This Row],[TC]]</f>
        <v>0</v>
      </c>
      <c r="L257" s="8" t="s">
        <v>303</v>
      </c>
      <c r="M257" s="8" t="s">
        <v>304</v>
      </c>
      <c r="N257" s="8" t="s">
        <v>30</v>
      </c>
      <c r="O257" s="8" t="s">
        <v>184</v>
      </c>
      <c r="P257" s="8" t="s">
        <v>187</v>
      </c>
      <c r="Q257" s="8" t="s">
        <v>188</v>
      </c>
      <c r="R257" s="8" t="s">
        <v>308</v>
      </c>
      <c r="S257" s="8"/>
      <c r="T257" s="8"/>
      <c r="U257" s="8" t="s">
        <v>261</v>
      </c>
      <c r="V257" s="8"/>
      <c r="W257" s="8" t="s">
        <v>306</v>
      </c>
      <c r="X257" s="8" t="s">
        <v>98</v>
      </c>
      <c r="Y257" s="8" t="s">
        <v>23</v>
      </c>
    </row>
    <row r="258" spans="1:25" hidden="1" x14ac:dyDescent="0.25">
      <c r="A258" s="283" t="str">
        <f t="shared" si="0"/>
        <v>ABRIL</v>
      </c>
      <c r="B258" s="260">
        <v>45754</v>
      </c>
      <c r="C258" s="261" t="s">
        <v>396</v>
      </c>
      <c r="D258" s="261"/>
      <c r="E258" s="262">
        <v>5.74</v>
      </c>
      <c r="F258" s="262">
        <v>0</v>
      </c>
      <c r="G258" s="285">
        <f>Tabla3[[#This Row],[INGRESOS]]-Tabla3[[#This Row],[EGRESOS]]</f>
        <v>-5.74</v>
      </c>
      <c r="H258" s="285"/>
      <c r="I258" s="135">
        <v>1140</v>
      </c>
      <c r="J258" s="136">
        <f>Tabla3[[#This Row],[EGRESOS]]/Tabla3[[#This Row],[TC]]</f>
        <v>5.0350877192982457E-3</v>
      </c>
      <c r="K258" s="136">
        <f>Tabla3[[#This Row],[INGRESOS]]/Tabla3[[#This Row],[TC]]</f>
        <v>0</v>
      </c>
      <c r="L258" s="8" t="s">
        <v>303</v>
      </c>
      <c r="M258" s="8" t="s">
        <v>304</v>
      </c>
      <c r="N258" s="8" t="s">
        <v>30</v>
      </c>
      <c r="O258" s="8" t="s">
        <v>184</v>
      </c>
      <c r="P258" s="8" t="s">
        <v>187</v>
      </c>
      <c r="Q258" s="8" t="s">
        <v>188</v>
      </c>
      <c r="R258" s="8" t="s">
        <v>317</v>
      </c>
      <c r="S258" s="8"/>
      <c r="T258" s="8"/>
      <c r="U258" s="8" t="s">
        <v>261</v>
      </c>
      <c r="V258" s="8"/>
      <c r="W258" s="8" t="s">
        <v>306</v>
      </c>
      <c r="X258" s="8" t="s">
        <v>98</v>
      </c>
      <c r="Y258" s="8" t="s">
        <v>23</v>
      </c>
    </row>
    <row r="259" spans="1:25" hidden="1" x14ac:dyDescent="0.25">
      <c r="A259" s="283" t="str">
        <f t="shared" si="0"/>
        <v>ABRIL</v>
      </c>
      <c r="B259" s="260">
        <v>45754</v>
      </c>
      <c r="C259" s="261" t="s">
        <v>396</v>
      </c>
      <c r="D259" s="261"/>
      <c r="E259" s="262">
        <v>1.2</v>
      </c>
      <c r="F259" s="262">
        <v>0</v>
      </c>
      <c r="G259" s="285">
        <f>Tabla3[[#This Row],[INGRESOS]]-Tabla3[[#This Row],[EGRESOS]]</f>
        <v>-1.2</v>
      </c>
      <c r="H259" s="285"/>
      <c r="I259" s="135">
        <v>1140</v>
      </c>
      <c r="J259" s="136">
        <f>Tabla3[[#This Row],[EGRESOS]]/Tabla3[[#This Row],[TC]]</f>
        <v>1.0526315789473684E-3</v>
      </c>
      <c r="K259" s="136">
        <f>Tabla3[[#This Row],[INGRESOS]]/Tabla3[[#This Row],[TC]]</f>
        <v>0</v>
      </c>
      <c r="L259" s="8" t="s">
        <v>303</v>
      </c>
      <c r="M259" s="8" t="s">
        <v>304</v>
      </c>
      <c r="N259" s="8" t="s">
        <v>30</v>
      </c>
      <c r="O259" s="8" t="s">
        <v>184</v>
      </c>
      <c r="P259" s="8" t="s">
        <v>187</v>
      </c>
      <c r="Q259" s="8" t="s">
        <v>188</v>
      </c>
      <c r="R259" s="8" t="s">
        <v>317</v>
      </c>
      <c r="S259" s="8"/>
      <c r="T259" s="8"/>
      <c r="U259" s="8" t="s">
        <v>261</v>
      </c>
      <c r="V259" s="8"/>
      <c r="W259" s="8" t="s">
        <v>306</v>
      </c>
      <c r="X259" s="8" t="s">
        <v>98</v>
      </c>
      <c r="Y259" s="8" t="s">
        <v>23</v>
      </c>
    </row>
    <row r="260" spans="1:25" hidden="1" x14ac:dyDescent="0.25">
      <c r="A260" s="283" t="str">
        <f t="shared" si="0"/>
        <v>ABRIL</v>
      </c>
      <c r="B260" s="260">
        <v>45755</v>
      </c>
      <c r="C260" s="261" t="s">
        <v>423</v>
      </c>
      <c r="D260" s="261"/>
      <c r="E260" s="262">
        <v>0</v>
      </c>
      <c r="F260" s="262">
        <v>10000</v>
      </c>
      <c r="G260" s="285">
        <f>Tabla3[[#This Row],[INGRESOS]]-Tabla3[[#This Row],[EGRESOS]]</f>
        <v>10000</v>
      </c>
      <c r="H260" s="285"/>
      <c r="I260" s="135">
        <v>1140</v>
      </c>
      <c r="J260" s="136">
        <f>Tabla3[[#This Row],[EGRESOS]]/Tabla3[[#This Row],[TC]]</f>
        <v>0</v>
      </c>
      <c r="K260" s="136">
        <f>Tabla3[[#This Row],[INGRESOS]]/Tabla3[[#This Row],[TC]]</f>
        <v>8.7719298245614041</v>
      </c>
      <c r="L260" s="8" t="s">
        <v>303</v>
      </c>
      <c r="M260" s="8" t="s">
        <v>304</v>
      </c>
      <c r="N260" s="8" t="s">
        <v>30</v>
      </c>
      <c r="O260" s="8" t="s">
        <v>214</v>
      </c>
      <c r="P260" s="8" t="s">
        <v>216</v>
      </c>
      <c r="Q260" s="8" t="s">
        <v>217</v>
      </c>
      <c r="R260" s="8" t="s">
        <v>360</v>
      </c>
      <c r="S260" s="8"/>
      <c r="T260" s="8"/>
      <c r="U260" s="8" t="s">
        <v>262</v>
      </c>
      <c r="V260" s="8"/>
      <c r="W260" s="8" t="s">
        <v>306</v>
      </c>
      <c r="X260" s="8"/>
      <c r="Y260" s="8"/>
    </row>
    <row r="261" spans="1:25" hidden="1" x14ac:dyDescent="0.25">
      <c r="A261" s="283" t="str">
        <f t="shared" si="0"/>
        <v>ABRIL</v>
      </c>
      <c r="B261" s="260">
        <v>45757</v>
      </c>
      <c r="C261" s="261" t="s">
        <v>423</v>
      </c>
      <c r="D261" s="261"/>
      <c r="E261" s="262">
        <v>0</v>
      </c>
      <c r="F261" s="262">
        <v>3000000</v>
      </c>
      <c r="G261" s="285">
        <f>Tabla3[[#This Row],[INGRESOS]]-Tabla3[[#This Row],[EGRESOS]]</f>
        <v>3000000</v>
      </c>
      <c r="H261" s="285">
        <v>0</v>
      </c>
      <c r="I261" s="135">
        <v>1140</v>
      </c>
      <c r="J261" s="136">
        <f>Tabla3[[#This Row],[EGRESOS]]/Tabla3[[#This Row],[TC]]</f>
        <v>0</v>
      </c>
      <c r="K261" s="136">
        <f>Tabla3[[#This Row],[INGRESOS]]/Tabla3[[#This Row],[TC]]</f>
        <v>2631.5789473684213</v>
      </c>
      <c r="L261" s="8" t="s">
        <v>303</v>
      </c>
      <c r="M261" s="8" t="s">
        <v>304</v>
      </c>
      <c r="N261" s="8" t="s">
        <v>30</v>
      </c>
      <c r="O261" s="8" t="s">
        <v>214</v>
      </c>
      <c r="P261" s="8" t="s">
        <v>216</v>
      </c>
      <c r="Q261" s="8" t="s">
        <v>217</v>
      </c>
      <c r="R261" s="8" t="s">
        <v>360</v>
      </c>
      <c r="S261" s="8" t="s">
        <v>428</v>
      </c>
      <c r="T261" s="8"/>
      <c r="U261" s="8" t="s">
        <v>262</v>
      </c>
      <c r="V261" s="8"/>
      <c r="W261" s="8" t="s">
        <v>306</v>
      </c>
      <c r="X261" s="8"/>
      <c r="Y261" s="8"/>
    </row>
    <row r="262" spans="1:25" hidden="1" x14ac:dyDescent="0.25">
      <c r="A262" s="283" t="str">
        <f t="shared" si="0"/>
        <v>ABRIL</v>
      </c>
      <c r="B262" s="260">
        <v>45758</v>
      </c>
      <c r="C262" s="261" t="s">
        <v>429</v>
      </c>
      <c r="D262" s="261"/>
      <c r="E262" s="262">
        <v>22500</v>
      </c>
      <c r="F262" s="262">
        <v>0</v>
      </c>
      <c r="G262" s="285">
        <f>Tabla3[[#This Row],[INGRESOS]]-Tabla3[[#This Row],[EGRESOS]]</f>
        <v>-22500</v>
      </c>
      <c r="H262" s="285"/>
      <c r="I262" s="135">
        <v>1140</v>
      </c>
      <c r="J262" s="136">
        <f>Tabla3[[#This Row],[EGRESOS]]/Tabla3[[#This Row],[TC]]</f>
        <v>19.736842105263158</v>
      </c>
      <c r="K262" s="136">
        <f>Tabla3[[#This Row],[INGRESOS]]/Tabla3[[#This Row],[TC]]</f>
        <v>0</v>
      </c>
      <c r="L262" s="8" t="s">
        <v>303</v>
      </c>
      <c r="M262" s="8" t="s">
        <v>304</v>
      </c>
      <c r="N262" s="8" t="s">
        <v>30</v>
      </c>
      <c r="O262" s="8" t="s">
        <v>184</v>
      </c>
      <c r="P262" s="8" t="s">
        <v>185</v>
      </c>
      <c r="Q262" s="8" t="s">
        <v>186</v>
      </c>
      <c r="R262" s="8"/>
      <c r="S262" s="8"/>
      <c r="T262" s="8"/>
      <c r="U262" s="8" t="s">
        <v>261</v>
      </c>
      <c r="V262" s="8"/>
      <c r="W262" s="8" t="s">
        <v>306</v>
      </c>
      <c r="X262" s="8" t="s">
        <v>98</v>
      </c>
      <c r="Y262" s="8" t="s">
        <v>23</v>
      </c>
    </row>
    <row r="263" spans="1:25" hidden="1" x14ac:dyDescent="0.25">
      <c r="A263" s="283" t="str">
        <f t="shared" si="0"/>
        <v>ABRIL</v>
      </c>
      <c r="B263" s="260">
        <v>45758</v>
      </c>
      <c r="C263" s="261" t="s">
        <v>430</v>
      </c>
      <c r="D263" s="261"/>
      <c r="E263" s="262">
        <v>9333.94</v>
      </c>
      <c r="F263" s="262">
        <v>0</v>
      </c>
      <c r="G263" s="285">
        <f>Tabla3[[#This Row],[INGRESOS]]-Tabla3[[#This Row],[EGRESOS]]</f>
        <v>-9333.94</v>
      </c>
      <c r="H263" s="285"/>
      <c r="I263" s="135">
        <v>1140</v>
      </c>
      <c r="J263" s="136">
        <f>Tabla3[[#This Row],[EGRESOS]]/Tabla3[[#This Row],[TC]]</f>
        <v>8.1876666666666669</v>
      </c>
      <c r="K263" s="136">
        <f>Tabla3[[#This Row],[INGRESOS]]/Tabla3[[#This Row],[TC]]</f>
        <v>0</v>
      </c>
      <c r="L263" s="8" t="s">
        <v>303</v>
      </c>
      <c r="M263" s="8" t="s">
        <v>304</v>
      </c>
      <c r="N263" s="8" t="s">
        <v>30</v>
      </c>
      <c r="O263" s="8" t="s">
        <v>184</v>
      </c>
      <c r="P263" s="8" t="s">
        <v>185</v>
      </c>
      <c r="Q263" s="8" t="s">
        <v>186</v>
      </c>
      <c r="R263" s="8"/>
      <c r="S263" s="8"/>
      <c r="T263" s="8"/>
      <c r="U263" s="8" t="s">
        <v>261</v>
      </c>
      <c r="V263" s="8"/>
      <c r="W263" s="8" t="s">
        <v>306</v>
      </c>
      <c r="X263" s="8" t="s">
        <v>98</v>
      </c>
      <c r="Y263" s="8" t="s">
        <v>23</v>
      </c>
    </row>
    <row r="264" spans="1:25" hidden="1" x14ac:dyDescent="0.25">
      <c r="A264" s="283" t="str">
        <f t="shared" si="0"/>
        <v>ABRIL</v>
      </c>
      <c r="B264" s="260">
        <v>45758</v>
      </c>
      <c r="C264" s="261" t="s">
        <v>393</v>
      </c>
      <c r="D264" s="261"/>
      <c r="E264" s="262">
        <v>4725</v>
      </c>
      <c r="F264" s="262">
        <v>0</v>
      </c>
      <c r="G264" s="285">
        <f>Tabla3[[#This Row],[INGRESOS]]-Tabla3[[#This Row],[EGRESOS]]</f>
        <v>-4725</v>
      </c>
      <c r="H264" s="285"/>
      <c r="I264" s="135">
        <v>1140</v>
      </c>
      <c r="J264" s="136">
        <f>Tabla3[[#This Row],[EGRESOS]]/Tabla3[[#This Row],[TC]]</f>
        <v>4.1447368421052628</v>
      </c>
      <c r="K264" s="136">
        <f>Tabla3[[#This Row],[INGRESOS]]/Tabla3[[#This Row],[TC]]</f>
        <v>0</v>
      </c>
      <c r="L264" s="8" t="s">
        <v>303</v>
      </c>
      <c r="M264" s="8" t="s">
        <v>304</v>
      </c>
      <c r="N264" s="8" t="s">
        <v>30</v>
      </c>
      <c r="O264" s="8" t="s">
        <v>184</v>
      </c>
      <c r="P264" s="8" t="s">
        <v>187</v>
      </c>
      <c r="Q264" s="8" t="s">
        <v>188</v>
      </c>
      <c r="R264" s="8" t="s">
        <v>308</v>
      </c>
      <c r="S264" s="8"/>
      <c r="T264" s="8"/>
      <c r="U264" s="8" t="s">
        <v>261</v>
      </c>
      <c r="V264" s="8"/>
      <c r="W264" s="8" t="s">
        <v>306</v>
      </c>
      <c r="X264" s="8" t="s">
        <v>98</v>
      </c>
      <c r="Y264" s="8" t="s">
        <v>23</v>
      </c>
    </row>
    <row r="265" spans="1:25" hidden="1" x14ac:dyDescent="0.25">
      <c r="A265" s="283" t="str">
        <f t="shared" si="0"/>
        <v>ABRIL</v>
      </c>
      <c r="B265" s="260">
        <v>45758</v>
      </c>
      <c r="C265" s="261" t="s">
        <v>394</v>
      </c>
      <c r="D265" s="261"/>
      <c r="E265" s="262">
        <v>675</v>
      </c>
      <c r="F265" s="262">
        <v>0</v>
      </c>
      <c r="G265" s="285">
        <f>Tabla3[[#This Row],[INGRESOS]]-Tabla3[[#This Row],[EGRESOS]]</f>
        <v>-675</v>
      </c>
      <c r="H265" s="285"/>
      <c r="I265" s="135">
        <v>1140</v>
      </c>
      <c r="J265" s="136">
        <f>Tabla3[[#This Row],[EGRESOS]]/Tabla3[[#This Row],[TC]]</f>
        <v>0.59210526315789469</v>
      </c>
      <c r="K265" s="136">
        <f>Tabla3[[#This Row],[INGRESOS]]/Tabla3[[#This Row],[TC]]</f>
        <v>0</v>
      </c>
      <c r="L265" s="8" t="s">
        <v>303</v>
      </c>
      <c r="M265" s="8" t="s">
        <v>304</v>
      </c>
      <c r="N265" s="8" t="s">
        <v>30</v>
      </c>
      <c r="O265" s="8" t="s">
        <v>184</v>
      </c>
      <c r="P265" s="8" t="s">
        <v>187</v>
      </c>
      <c r="Q265" s="8" t="s">
        <v>188</v>
      </c>
      <c r="R265" s="8" t="s">
        <v>395</v>
      </c>
      <c r="S265" s="8"/>
      <c r="T265" s="8"/>
      <c r="U265" s="8" t="s">
        <v>261</v>
      </c>
      <c r="V265" s="8"/>
      <c r="W265" s="8" t="s">
        <v>306</v>
      </c>
      <c r="X265" s="8" t="s">
        <v>98</v>
      </c>
      <c r="Y265" s="8" t="s">
        <v>23</v>
      </c>
    </row>
    <row r="266" spans="1:25" hidden="1" x14ac:dyDescent="0.25">
      <c r="A266" s="283" t="str">
        <f t="shared" si="0"/>
        <v>ABRIL</v>
      </c>
      <c r="B266" s="260">
        <v>45758</v>
      </c>
      <c r="C266" s="261" t="s">
        <v>396</v>
      </c>
      <c r="D266" s="261"/>
      <c r="E266" s="262">
        <v>56</v>
      </c>
      <c r="F266" s="262">
        <v>0</v>
      </c>
      <c r="G266" s="285">
        <f>Tabla3[[#This Row],[INGRESOS]]-Tabla3[[#This Row],[EGRESOS]]</f>
        <v>-56</v>
      </c>
      <c r="H266" s="285"/>
      <c r="I266" s="135">
        <v>1140</v>
      </c>
      <c r="J266" s="136">
        <f>Tabla3[[#This Row],[EGRESOS]]/Tabla3[[#This Row],[TC]]</f>
        <v>4.912280701754386E-2</v>
      </c>
      <c r="K266" s="136">
        <f>Tabla3[[#This Row],[INGRESOS]]/Tabla3[[#This Row],[TC]]</f>
        <v>0</v>
      </c>
      <c r="L266" s="8" t="s">
        <v>303</v>
      </c>
      <c r="M266" s="8" t="s">
        <v>304</v>
      </c>
      <c r="N266" s="8" t="s">
        <v>30</v>
      </c>
      <c r="O266" s="8" t="s">
        <v>184</v>
      </c>
      <c r="P266" s="8" t="s">
        <v>187</v>
      </c>
      <c r="Q266" s="8" t="s">
        <v>188</v>
      </c>
      <c r="R266" s="8" t="s">
        <v>317</v>
      </c>
      <c r="S266" s="8"/>
      <c r="T266" s="8"/>
      <c r="U266" s="8" t="s">
        <v>261</v>
      </c>
      <c r="V266" s="8"/>
      <c r="W266" s="8" t="s">
        <v>306</v>
      </c>
      <c r="X266" s="8" t="s">
        <v>98</v>
      </c>
      <c r="Y266" s="8" t="s">
        <v>23</v>
      </c>
    </row>
    <row r="267" spans="1:25" hidden="1" x14ac:dyDescent="0.25">
      <c r="A267" s="283" t="str">
        <f t="shared" si="0"/>
        <v>ABRIL</v>
      </c>
      <c r="B267" s="260">
        <v>45758</v>
      </c>
      <c r="C267" s="261" t="s">
        <v>396</v>
      </c>
      <c r="D267" s="261"/>
      <c r="E267" s="262">
        <v>28.35</v>
      </c>
      <c r="F267" s="262">
        <v>0</v>
      </c>
      <c r="G267" s="285">
        <f>Tabla3[[#This Row],[INGRESOS]]-Tabla3[[#This Row],[EGRESOS]]</f>
        <v>-28.35</v>
      </c>
      <c r="H267" s="285"/>
      <c r="I267" s="135">
        <v>1140</v>
      </c>
      <c r="J267" s="136">
        <f>Tabla3[[#This Row],[EGRESOS]]/Tabla3[[#This Row],[TC]]</f>
        <v>2.4868421052631581E-2</v>
      </c>
      <c r="K267" s="136">
        <f>Tabla3[[#This Row],[INGRESOS]]/Tabla3[[#This Row],[TC]]</f>
        <v>0</v>
      </c>
      <c r="L267" s="8" t="s">
        <v>303</v>
      </c>
      <c r="M267" s="8" t="s">
        <v>304</v>
      </c>
      <c r="N267" s="8" t="s">
        <v>30</v>
      </c>
      <c r="O267" s="8" t="s">
        <v>184</v>
      </c>
      <c r="P267" s="8" t="s">
        <v>187</v>
      </c>
      <c r="Q267" s="8" t="s">
        <v>188</v>
      </c>
      <c r="R267" s="8" t="s">
        <v>317</v>
      </c>
      <c r="S267" s="8"/>
      <c r="T267" s="8"/>
      <c r="U267" s="8" t="s">
        <v>261</v>
      </c>
      <c r="V267" s="8"/>
      <c r="W267" s="8" t="s">
        <v>306</v>
      </c>
      <c r="X267" s="8" t="s">
        <v>98</v>
      </c>
      <c r="Y267" s="8" t="s">
        <v>23</v>
      </c>
    </row>
    <row r="268" spans="1:25" hidden="1" x14ac:dyDescent="0.25">
      <c r="A268" s="283" t="str">
        <f t="shared" si="0"/>
        <v>ABRIL</v>
      </c>
      <c r="B268" s="260">
        <v>45758</v>
      </c>
      <c r="C268" s="261" t="s">
        <v>396</v>
      </c>
      <c r="D268" s="261"/>
      <c r="E268" s="262">
        <v>4.05</v>
      </c>
      <c r="F268" s="262">
        <v>0</v>
      </c>
      <c r="G268" s="285">
        <f>Tabla3[[#This Row],[INGRESOS]]-Tabla3[[#This Row],[EGRESOS]]</f>
        <v>-4.05</v>
      </c>
      <c r="H268" s="285"/>
      <c r="I268" s="135">
        <v>1140</v>
      </c>
      <c r="J268" s="136">
        <f>Tabla3[[#This Row],[EGRESOS]]/Tabla3[[#This Row],[TC]]</f>
        <v>3.5526315789473684E-3</v>
      </c>
      <c r="K268" s="136">
        <f>Tabla3[[#This Row],[INGRESOS]]/Tabla3[[#This Row],[TC]]</f>
        <v>0</v>
      </c>
      <c r="L268" s="8" t="s">
        <v>303</v>
      </c>
      <c r="M268" s="8" t="s">
        <v>304</v>
      </c>
      <c r="N268" s="8" t="s">
        <v>30</v>
      </c>
      <c r="O268" s="8" t="s">
        <v>184</v>
      </c>
      <c r="P268" s="8" t="s">
        <v>187</v>
      </c>
      <c r="Q268" s="8" t="s">
        <v>188</v>
      </c>
      <c r="R268" s="8" t="s">
        <v>317</v>
      </c>
      <c r="S268" s="8"/>
      <c r="T268" s="8"/>
      <c r="U268" s="8" t="s">
        <v>261</v>
      </c>
      <c r="V268" s="8"/>
      <c r="W268" s="8" t="s">
        <v>306</v>
      </c>
      <c r="X268" s="8" t="s">
        <v>98</v>
      </c>
      <c r="Y268" s="8" t="s">
        <v>23</v>
      </c>
    </row>
    <row r="269" spans="1:25" hidden="1" x14ac:dyDescent="0.25">
      <c r="A269" s="283" t="str">
        <f t="shared" si="0"/>
        <v>ABRIL</v>
      </c>
      <c r="B269" s="260">
        <v>45763</v>
      </c>
      <c r="C269" s="261" t="s">
        <v>416</v>
      </c>
      <c r="D269" s="261"/>
      <c r="E269" s="262">
        <v>1200000</v>
      </c>
      <c r="F269" s="262">
        <v>0</v>
      </c>
      <c r="G269" s="285">
        <f>Tabla3[[#This Row],[INGRESOS]]-Tabla3[[#This Row],[EGRESOS]]</f>
        <v>-1200000</v>
      </c>
      <c r="H269" s="285"/>
      <c r="I269" s="135">
        <v>1140</v>
      </c>
      <c r="J269" s="136">
        <f>Tabla3[[#This Row],[EGRESOS]]/Tabla3[[#This Row],[TC]]</f>
        <v>1052.6315789473683</v>
      </c>
      <c r="K269" s="136">
        <f>Tabla3[[#This Row],[INGRESOS]]/Tabla3[[#This Row],[TC]]</f>
        <v>0</v>
      </c>
      <c r="L269" s="8" t="s">
        <v>303</v>
      </c>
      <c r="M269" s="8" t="s">
        <v>304</v>
      </c>
      <c r="N269" s="8" t="s">
        <v>30</v>
      </c>
      <c r="O269" s="8" t="s">
        <v>214</v>
      </c>
      <c r="P269" s="8" t="s">
        <v>216</v>
      </c>
      <c r="Q269" s="8" t="s">
        <v>217</v>
      </c>
      <c r="R269" s="8" t="s">
        <v>305</v>
      </c>
      <c r="S269" s="8"/>
      <c r="T269" s="8"/>
      <c r="U269" s="8" t="s">
        <v>262</v>
      </c>
      <c r="V269" s="8"/>
      <c r="W269" s="8" t="s">
        <v>306</v>
      </c>
      <c r="X269" s="8"/>
      <c r="Y269" s="8"/>
    </row>
    <row r="270" spans="1:25" hidden="1" x14ac:dyDescent="0.25">
      <c r="A270" s="283" t="str">
        <f t="shared" si="0"/>
        <v>ABRIL</v>
      </c>
      <c r="B270" s="260">
        <v>45763</v>
      </c>
      <c r="C270" s="261" t="s">
        <v>416</v>
      </c>
      <c r="D270" s="261"/>
      <c r="E270" s="262">
        <v>1000000</v>
      </c>
      <c r="F270" s="262">
        <v>0</v>
      </c>
      <c r="G270" s="285">
        <f>Tabla3[[#This Row],[INGRESOS]]-Tabla3[[#This Row],[EGRESOS]]</f>
        <v>-1000000</v>
      </c>
      <c r="H270" s="285"/>
      <c r="I270" s="135">
        <v>1140</v>
      </c>
      <c r="J270" s="136">
        <f>Tabla3[[#This Row],[EGRESOS]]/Tabla3[[#This Row],[TC]]</f>
        <v>877.19298245614038</v>
      </c>
      <c r="K270" s="136">
        <f>Tabla3[[#This Row],[INGRESOS]]/Tabla3[[#This Row],[TC]]</f>
        <v>0</v>
      </c>
      <c r="L270" s="8" t="s">
        <v>303</v>
      </c>
      <c r="M270" s="8" t="s">
        <v>304</v>
      </c>
      <c r="N270" s="8" t="s">
        <v>30</v>
      </c>
      <c r="O270" s="8" t="s">
        <v>214</v>
      </c>
      <c r="P270" s="8" t="s">
        <v>216</v>
      </c>
      <c r="Q270" s="8" t="s">
        <v>217</v>
      </c>
      <c r="R270" s="8" t="s">
        <v>305</v>
      </c>
      <c r="S270" s="8"/>
      <c r="T270" s="8"/>
      <c r="U270" s="8" t="s">
        <v>262</v>
      </c>
      <c r="V270" s="8"/>
      <c r="W270" s="8" t="s">
        <v>306</v>
      </c>
      <c r="X270" s="8"/>
      <c r="Y270" s="8"/>
    </row>
    <row r="271" spans="1:25" hidden="1" x14ac:dyDescent="0.25">
      <c r="A271" s="283" t="str">
        <f t="shared" si="0"/>
        <v>ABRIL</v>
      </c>
      <c r="B271" s="260">
        <v>45763</v>
      </c>
      <c r="C271" s="261" t="s">
        <v>416</v>
      </c>
      <c r="D271" s="261"/>
      <c r="E271" s="262">
        <v>90000</v>
      </c>
      <c r="F271" s="262">
        <v>0</v>
      </c>
      <c r="G271" s="285">
        <f>Tabla3[[#This Row],[INGRESOS]]-Tabla3[[#This Row],[EGRESOS]]</f>
        <v>-90000</v>
      </c>
      <c r="H271" s="285"/>
      <c r="I271" s="135">
        <v>1140</v>
      </c>
      <c r="J271" s="136">
        <f>Tabla3[[#This Row],[EGRESOS]]/Tabla3[[#This Row],[TC]]</f>
        <v>78.94736842105263</v>
      </c>
      <c r="K271" s="136">
        <f>Tabla3[[#This Row],[INGRESOS]]/Tabla3[[#This Row],[TC]]</f>
        <v>0</v>
      </c>
      <c r="L271" s="8" t="s">
        <v>303</v>
      </c>
      <c r="M271" s="8" t="s">
        <v>304</v>
      </c>
      <c r="N271" s="8" t="s">
        <v>30</v>
      </c>
      <c r="O271" s="8" t="s">
        <v>214</v>
      </c>
      <c r="P271" s="8" t="s">
        <v>216</v>
      </c>
      <c r="Q271" s="8" t="s">
        <v>217</v>
      </c>
      <c r="R271" s="8" t="s">
        <v>305</v>
      </c>
      <c r="S271" s="8"/>
      <c r="T271" s="8"/>
      <c r="U271" s="8" t="s">
        <v>262</v>
      </c>
      <c r="V271" s="8"/>
      <c r="W271" s="8" t="s">
        <v>306</v>
      </c>
      <c r="X271" s="8"/>
      <c r="Y271" s="8"/>
    </row>
    <row r="272" spans="1:25" hidden="1" x14ac:dyDescent="0.25">
      <c r="A272" s="283" t="str">
        <f t="shared" si="0"/>
        <v>ABRIL</v>
      </c>
      <c r="B272" s="260">
        <v>45768</v>
      </c>
      <c r="C272" s="261" t="s">
        <v>416</v>
      </c>
      <c r="D272" s="261"/>
      <c r="E272" s="262">
        <v>650000</v>
      </c>
      <c r="F272" s="262">
        <v>0</v>
      </c>
      <c r="G272" s="285">
        <f>Tabla3[[#This Row],[INGRESOS]]-Tabla3[[#This Row],[EGRESOS]]</f>
        <v>-650000</v>
      </c>
      <c r="H272" s="285"/>
      <c r="I272" s="135">
        <v>1140</v>
      </c>
      <c r="J272" s="136">
        <f>Tabla3[[#This Row],[EGRESOS]]/Tabla3[[#This Row],[TC]]</f>
        <v>570.17543859649118</v>
      </c>
      <c r="K272" s="136">
        <f>Tabla3[[#This Row],[INGRESOS]]/Tabla3[[#This Row],[TC]]</f>
        <v>0</v>
      </c>
      <c r="L272" s="8" t="s">
        <v>303</v>
      </c>
      <c r="M272" s="8" t="s">
        <v>304</v>
      </c>
      <c r="N272" s="8" t="s">
        <v>30</v>
      </c>
      <c r="O272" s="8" t="s">
        <v>214</v>
      </c>
      <c r="P272" s="8" t="s">
        <v>216</v>
      </c>
      <c r="Q272" s="8" t="s">
        <v>217</v>
      </c>
      <c r="R272" s="8" t="s">
        <v>305</v>
      </c>
      <c r="S272" s="8"/>
      <c r="T272" s="8"/>
      <c r="U272" s="8" t="s">
        <v>262</v>
      </c>
      <c r="V272" s="8"/>
      <c r="W272" s="8" t="s">
        <v>306</v>
      </c>
      <c r="X272" s="8"/>
      <c r="Y272" s="8"/>
    </row>
    <row r="273" spans="1:25" hidden="1" x14ac:dyDescent="0.25">
      <c r="A273" s="283" t="str">
        <f t="shared" si="0"/>
        <v>ABRIL</v>
      </c>
      <c r="B273" s="260">
        <v>45768</v>
      </c>
      <c r="C273" s="261" t="s">
        <v>416</v>
      </c>
      <c r="D273" s="261"/>
      <c r="E273" s="262">
        <v>30000</v>
      </c>
      <c r="F273" s="262">
        <v>0</v>
      </c>
      <c r="G273" s="285">
        <f>Tabla3[[#This Row],[INGRESOS]]-Tabla3[[#This Row],[EGRESOS]]</f>
        <v>-30000</v>
      </c>
      <c r="H273" s="285"/>
      <c r="I273" s="135">
        <v>1140</v>
      </c>
      <c r="J273" s="136">
        <f>Tabla3[[#This Row],[EGRESOS]]/Tabla3[[#This Row],[TC]]</f>
        <v>26.315789473684209</v>
      </c>
      <c r="K273" s="136">
        <f>Tabla3[[#This Row],[INGRESOS]]/Tabla3[[#This Row],[TC]]</f>
        <v>0</v>
      </c>
      <c r="L273" s="8" t="s">
        <v>303</v>
      </c>
      <c r="M273" s="8" t="s">
        <v>304</v>
      </c>
      <c r="N273" s="8" t="s">
        <v>30</v>
      </c>
      <c r="O273" s="8" t="s">
        <v>184</v>
      </c>
      <c r="P273" s="8" t="s">
        <v>191</v>
      </c>
      <c r="Q273" s="8" t="s">
        <v>192</v>
      </c>
      <c r="R273" s="8"/>
      <c r="S273" s="8" t="s">
        <v>431</v>
      </c>
      <c r="T273" s="8"/>
      <c r="U273" s="8" t="s">
        <v>266</v>
      </c>
      <c r="V273" s="8"/>
      <c r="W273" s="8" t="s">
        <v>306</v>
      </c>
      <c r="X273" s="8" t="s">
        <v>98</v>
      </c>
      <c r="Y273" s="8" t="s">
        <v>23</v>
      </c>
    </row>
    <row r="274" spans="1:25" hidden="1" x14ac:dyDescent="0.25">
      <c r="A274" s="283" t="str">
        <f t="shared" si="0"/>
        <v>ABRIL</v>
      </c>
      <c r="B274" s="260">
        <v>45768</v>
      </c>
      <c r="C274" s="261" t="s">
        <v>427</v>
      </c>
      <c r="D274" s="261"/>
      <c r="E274" s="262">
        <v>956</v>
      </c>
      <c r="F274" s="262">
        <v>0</v>
      </c>
      <c r="G274" s="285">
        <f>Tabla3[[#This Row],[INGRESOS]]-Tabla3[[#This Row],[EGRESOS]]</f>
        <v>-956</v>
      </c>
      <c r="H274" s="285"/>
      <c r="I274" s="135">
        <v>1140</v>
      </c>
      <c r="J274" s="136">
        <f>Tabla3[[#This Row],[EGRESOS]]/Tabla3[[#This Row],[TC]]</f>
        <v>0.83859649122807023</v>
      </c>
      <c r="K274" s="136">
        <f>Tabla3[[#This Row],[INGRESOS]]/Tabla3[[#This Row],[TC]]</f>
        <v>0</v>
      </c>
      <c r="L274" s="8" t="s">
        <v>303</v>
      </c>
      <c r="M274" s="8" t="s">
        <v>304</v>
      </c>
      <c r="N274" s="8" t="s">
        <v>30</v>
      </c>
      <c r="O274" s="8" t="s">
        <v>184</v>
      </c>
      <c r="P274" s="8" t="s">
        <v>185</v>
      </c>
      <c r="Q274" s="8" t="s">
        <v>186</v>
      </c>
      <c r="R274" s="8"/>
      <c r="S274" s="8"/>
      <c r="T274" s="8"/>
      <c r="U274" s="8" t="s">
        <v>261</v>
      </c>
      <c r="V274" s="8"/>
      <c r="W274" s="8" t="s">
        <v>306</v>
      </c>
      <c r="X274" s="8" t="s">
        <v>98</v>
      </c>
      <c r="Y274" s="8" t="s">
        <v>23</v>
      </c>
    </row>
    <row r="275" spans="1:25" hidden="1" x14ac:dyDescent="0.25">
      <c r="A275" s="283" t="str">
        <f t="shared" si="0"/>
        <v>ABRIL</v>
      </c>
      <c r="B275" s="260">
        <v>45768</v>
      </c>
      <c r="C275" s="261" t="s">
        <v>427</v>
      </c>
      <c r="D275" s="261"/>
      <c r="E275" s="262">
        <v>956</v>
      </c>
      <c r="F275" s="262">
        <v>0</v>
      </c>
      <c r="G275" s="285">
        <f>Tabla3[[#This Row],[INGRESOS]]-Tabla3[[#This Row],[EGRESOS]]</f>
        <v>-956</v>
      </c>
      <c r="H275" s="285"/>
      <c r="I275" s="135">
        <v>1140</v>
      </c>
      <c r="J275" s="136">
        <f>Tabla3[[#This Row],[EGRESOS]]/Tabla3[[#This Row],[TC]]</f>
        <v>0.83859649122807023</v>
      </c>
      <c r="K275" s="136">
        <f>Tabla3[[#This Row],[INGRESOS]]/Tabla3[[#This Row],[TC]]</f>
        <v>0</v>
      </c>
      <c r="L275" s="8" t="s">
        <v>303</v>
      </c>
      <c r="M275" s="8" t="s">
        <v>304</v>
      </c>
      <c r="N275" s="8" t="s">
        <v>30</v>
      </c>
      <c r="O275" s="8" t="s">
        <v>184</v>
      </c>
      <c r="P275" s="8" t="s">
        <v>185</v>
      </c>
      <c r="Q275" s="8" t="s">
        <v>186</v>
      </c>
      <c r="R275" s="8"/>
      <c r="S275" s="8"/>
      <c r="T275" s="8"/>
      <c r="U275" s="8" t="s">
        <v>261</v>
      </c>
      <c r="V275" s="8"/>
      <c r="W275" s="8" t="s">
        <v>306</v>
      </c>
      <c r="X275" s="8" t="s">
        <v>98</v>
      </c>
      <c r="Y275" s="8" t="s">
        <v>23</v>
      </c>
    </row>
    <row r="276" spans="1:25" hidden="1" x14ac:dyDescent="0.25">
      <c r="A276" s="283" t="str">
        <f t="shared" si="0"/>
        <v>ABRIL</v>
      </c>
      <c r="B276" s="260">
        <v>45768</v>
      </c>
      <c r="C276" s="261" t="s">
        <v>393</v>
      </c>
      <c r="D276" s="261"/>
      <c r="E276" s="262">
        <v>401.52</v>
      </c>
      <c r="F276" s="262">
        <v>0</v>
      </c>
      <c r="G276" s="285">
        <f>Tabla3[[#This Row],[INGRESOS]]-Tabla3[[#This Row],[EGRESOS]]</f>
        <v>-401.52</v>
      </c>
      <c r="H276" s="285"/>
      <c r="I276" s="135">
        <v>1140</v>
      </c>
      <c r="J276" s="136">
        <f>Tabla3[[#This Row],[EGRESOS]]/Tabla3[[#This Row],[TC]]</f>
        <v>0.35221052631578947</v>
      </c>
      <c r="K276" s="136">
        <f>Tabla3[[#This Row],[INGRESOS]]/Tabla3[[#This Row],[TC]]</f>
        <v>0</v>
      </c>
      <c r="L276" s="8" t="s">
        <v>303</v>
      </c>
      <c r="M276" s="8" t="s">
        <v>304</v>
      </c>
      <c r="N276" s="8" t="s">
        <v>30</v>
      </c>
      <c r="O276" s="8" t="s">
        <v>184</v>
      </c>
      <c r="P276" s="8" t="s">
        <v>187</v>
      </c>
      <c r="Q276" s="8" t="s">
        <v>188</v>
      </c>
      <c r="R276" s="8" t="s">
        <v>317</v>
      </c>
      <c r="S276" s="8"/>
      <c r="T276" s="8"/>
      <c r="U276" s="8" t="s">
        <v>261</v>
      </c>
      <c r="V276" s="8"/>
      <c r="W276" s="8" t="s">
        <v>306</v>
      </c>
      <c r="X276" s="8" t="s">
        <v>98</v>
      </c>
      <c r="Y276" s="8" t="s">
        <v>23</v>
      </c>
    </row>
    <row r="277" spans="1:25" hidden="1" x14ac:dyDescent="0.25">
      <c r="A277" s="283" t="str">
        <f t="shared" si="0"/>
        <v>ABRIL</v>
      </c>
      <c r="B277" s="260">
        <v>45768</v>
      </c>
      <c r="C277" s="261" t="s">
        <v>396</v>
      </c>
      <c r="D277" s="261"/>
      <c r="E277" s="262">
        <v>180</v>
      </c>
      <c r="F277" s="262">
        <v>0</v>
      </c>
      <c r="G277" s="285">
        <f>Tabla3[[#This Row],[INGRESOS]]-Tabla3[[#This Row],[EGRESOS]]</f>
        <v>-180</v>
      </c>
      <c r="H277" s="285"/>
      <c r="I277" s="135">
        <v>1140</v>
      </c>
      <c r="J277" s="136">
        <f>Tabla3[[#This Row],[EGRESOS]]/Tabla3[[#This Row],[TC]]</f>
        <v>0.15789473684210525</v>
      </c>
      <c r="K277" s="136">
        <f>Tabla3[[#This Row],[INGRESOS]]/Tabla3[[#This Row],[TC]]</f>
        <v>0</v>
      </c>
      <c r="L277" s="8" t="s">
        <v>303</v>
      </c>
      <c r="M277" s="8" t="s">
        <v>304</v>
      </c>
      <c r="N277" s="8" t="s">
        <v>30</v>
      </c>
      <c r="O277" s="8" t="s">
        <v>184</v>
      </c>
      <c r="P277" s="8" t="s">
        <v>187</v>
      </c>
      <c r="Q277" s="8" t="s">
        <v>188</v>
      </c>
      <c r="R277" s="8" t="s">
        <v>317</v>
      </c>
      <c r="S277" s="8"/>
      <c r="T277" s="8"/>
      <c r="U277" s="8" t="s">
        <v>261</v>
      </c>
      <c r="V277" s="8"/>
      <c r="W277" s="8" t="s">
        <v>306</v>
      </c>
      <c r="X277" s="8" t="s">
        <v>98</v>
      </c>
      <c r="Y277" s="8" t="s">
        <v>23</v>
      </c>
    </row>
    <row r="278" spans="1:25" hidden="1" x14ac:dyDescent="0.25">
      <c r="A278" s="283" t="str">
        <f t="shared" si="0"/>
        <v>ABRIL</v>
      </c>
      <c r="B278" s="260">
        <v>45768</v>
      </c>
      <c r="C278" s="261" t="s">
        <v>396</v>
      </c>
      <c r="D278" s="261"/>
      <c r="E278" s="262">
        <v>5.74</v>
      </c>
      <c r="F278" s="262">
        <v>0</v>
      </c>
      <c r="G278" s="285">
        <f>Tabla3[[#This Row],[INGRESOS]]-Tabla3[[#This Row],[EGRESOS]]</f>
        <v>-5.74</v>
      </c>
      <c r="H278" s="285"/>
      <c r="I278" s="135">
        <v>1140</v>
      </c>
      <c r="J278" s="136">
        <f>Tabla3[[#This Row],[EGRESOS]]/Tabla3[[#This Row],[TC]]</f>
        <v>5.0350877192982457E-3</v>
      </c>
      <c r="K278" s="136">
        <f>Tabla3[[#This Row],[INGRESOS]]/Tabla3[[#This Row],[TC]]</f>
        <v>0</v>
      </c>
      <c r="L278" s="8" t="s">
        <v>303</v>
      </c>
      <c r="M278" s="8" t="s">
        <v>304</v>
      </c>
      <c r="N278" s="8" t="s">
        <v>30</v>
      </c>
      <c r="O278" s="8" t="s">
        <v>184</v>
      </c>
      <c r="P278" s="8" t="s">
        <v>187</v>
      </c>
      <c r="Q278" s="8" t="s">
        <v>188</v>
      </c>
      <c r="R278" s="8" t="s">
        <v>317</v>
      </c>
      <c r="S278" s="8"/>
      <c r="T278" s="8"/>
      <c r="U278" s="8" t="s">
        <v>261</v>
      </c>
      <c r="V278" s="8"/>
      <c r="W278" s="8" t="s">
        <v>306</v>
      </c>
      <c r="X278" s="8" t="s">
        <v>98</v>
      </c>
      <c r="Y278" s="8" t="s">
        <v>23</v>
      </c>
    </row>
    <row r="279" spans="1:25" hidden="1" x14ac:dyDescent="0.25">
      <c r="A279" s="283" t="str">
        <f t="shared" ref="A279:A302" si="1">"ABRIL"</f>
        <v>ABRIL</v>
      </c>
      <c r="B279" s="260">
        <v>45768</v>
      </c>
      <c r="C279" s="261" t="s">
        <v>396</v>
      </c>
      <c r="D279" s="261"/>
      <c r="E279" s="262">
        <v>5.74</v>
      </c>
      <c r="F279" s="262">
        <v>0</v>
      </c>
      <c r="G279" s="285">
        <f>Tabla3[[#This Row],[INGRESOS]]-Tabla3[[#This Row],[EGRESOS]]</f>
        <v>-5.74</v>
      </c>
      <c r="H279" s="285"/>
      <c r="I279" s="135">
        <v>1140</v>
      </c>
      <c r="J279" s="136">
        <f>Tabla3[[#This Row],[EGRESOS]]/Tabla3[[#This Row],[TC]]</f>
        <v>5.0350877192982457E-3</v>
      </c>
      <c r="K279" s="136">
        <f>Tabla3[[#This Row],[INGRESOS]]/Tabla3[[#This Row],[TC]]</f>
        <v>0</v>
      </c>
      <c r="L279" s="8" t="s">
        <v>303</v>
      </c>
      <c r="M279" s="8" t="s">
        <v>304</v>
      </c>
      <c r="N279" s="8" t="s">
        <v>30</v>
      </c>
      <c r="O279" s="8" t="s">
        <v>184</v>
      </c>
      <c r="P279" s="8" t="s">
        <v>187</v>
      </c>
      <c r="Q279" s="8" t="s">
        <v>188</v>
      </c>
      <c r="R279" s="8" t="s">
        <v>317</v>
      </c>
      <c r="S279" s="8"/>
      <c r="T279" s="8"/>
      <c r="U279" s="8" t="s">
        <v>261</v>
      </c>
      <c r="V279" s="8"/>
      <c r="W279" s="8" t="s">
        <v>306</v>
      </c>
      <c r="X279" s="8" t="s">
        <v>98</v>
      </c>
      <c r="Y279" s="8" t="s">
        <v>23</v>
      </c>
    </row>
    <row r="280" spans="1:25" hidden="1" x14ac:dyDescent="0.25">
      <c r="A280" s="283" t="str">
        <f t="shared" si="1"/>
        <v>ABRIL</v>
      </c>
      <c r="B280" s="260">
        <v>45768</v>
      </c>
      <c r="C280" s="261" t="s">
        <v>396</v>
      </c>
      <c r="D280" s="261"/>
      <c r="E280" s="262">
        <v>2.41</v>
      </c>
      <c r="F280" s="262">
        <v>0</v>
      </c>
      <c r="G280" s="285">
        <f>Tabla3[[#This Row],[INGRESOS]]-Tabla3[[#This Row],[EGRESOS]]</f>
        <v>-2.41</v>
      </c>
      <c r="H280" s="285"/>
      <c r="I280" s="135">
        <v>1140</v>
      </c>
      <c r="J280" s="136">
        <f>Tabla3[[#This Row],[EGRESOS]]/Tabla3[[#This Row],[TC]]</f>
        <v>2.1140350877192982E-3</v>
      </c>
      <c r="K280" s="136">
        <f>Tabla3[[#This Row],[INGRESOS]]/Tabla3[[#This Row],[TC]]</f>
        <v>0</v>
      </c>
      <c r="L280" s="8" t="s">
        <v>303</v>
      </c>
      <c r="M280" s="8" t="s">
        <v>304</v>
      </c>
      <c r="N280" s="8" t="s">
        <v>30</v>
      </c>
      <c r="O280" s="8" t="s">
        <v>184</v>
      </c>
      <c r="P280" s="8" t="s">
        <v>187</v>
      </c>
      <c r="Q280" s="8" t="s">
        <v>188</v>
      </c>
      <c r="R280" s="8" t="s">
        <v>317</v>
      </c>
      <c r="S280" s="8"/>
      <c r="T280" s="8"/>
      <c r="U280" s="8" t="s">
        <v>261</v>
      </c>
      <c r="V280" s="8"/>
      <c r="W280" s="8" t="s">
        <v>306</v>
      </c>
      <c r="X280" s="8" t="s">
        <v>98</v>
      </c>
      <c r="Y280" s="8" t="s">
        <v>23</v>
      </c>
    </row>
    <row r="281" spans="1:25" hidden="1" x14ac:dyDescent="0.25">
      <c r="A281" s="283" t="str">
        <f t="shared" si="1"/>
        <v>ABRIL</v>
      </c>
      <c r="B281" s="260">
        <v>45769</v>
      </c>
      <c r="C281" s="261" t="s">
        <v>421</v>
      </c>
      <c r="D281" s="261"/>
      <c r="E281" s="262">
        <v>0</v>
      </c>
      <c r="F281" s="262">
        <v>5000</v>
      </c>
      <c r="G281" s="285">
        <f>Tabla3[[#This Row],[INGRESOS]]-Tabla3[[#This Row],[EGRESOS]]</f>
        <v>5000</v>
      </c>
      <c r="H281" s="285"/>
      <c r="I281" s="135">
        <v>1140</v>
      </c>
      <c r="J281" s="136">
        <f>Tabla3[[#This Row],[EGRESOS]]/Tabla3[[#This Row],[TC]]</f>
        <v>0</v>
      </c>
      <c r="K281" s="136">
        <f>Tabla3[[#This Row],[INGRESOS]]/Tabla3[[#This Row],[TC]]</f>
        <v>4.3859649122807021</v>
      </c>
      <c r="L281" s="8" t="s">
        <v>303</v>
      </c>
      <c r="M281" s="8" t="s">
        <v>304</v>
      </c>
      <c r="N281" s="8" t="s">
        <v>30</v>
      </c>
      <c r="O281" s="8" t="s">
        <v>184</v>
      </c>
      <c r="P281" s="8" t="s">
        <v>194</v>
      </c>
      <c r="Q281" s="8" t="s">
        <v>236</v>
      </c>
      <c r="R281" s="8" t="s">
        <v>432</v>
      </c>
      <c r="S281" s="8" t="s">
        <v>311</v>
      </c>
      <c r="T281" s="8"/>
      <c r="U281" s="8" t="s">
        <v>272</v>
      </c>
      <c r="V281" s="8" t="s">
        <v>311</v>
      </c>
      <c r="W281" s="8" t="s">
        <v>306</v>
      </c>
      <c r="X281" s="8" t="s">
        <v>23</v>
      </c>
      <c r="Y281" s="8" t="s">
        <v>97</v>
      </c>
    </row>
    <row r="282" spans="1:25" hidden="1" x14ac:dyDescent="0.25">
      <c r="A282" s="283" t="str">
        <f t="shared" si="1"/>
        <v>ABRIL</v>
      </c>
      <c r="B282" s="260">
        <v>45769</v>
      </c>
      <c r="C282" s="261" t="s">
        <v>427</v>
      </c>
      <c r="D282" s="261"/>
      <c r="E282" s="262">
        <v>956</v>
      </c>
      <c r="F282" s="262">
        <v>0</v>
      </c>
      <c r="G282" s="285">
        <f>Tabla3[[#This Row],[INGRESOS]]-Tabla3[[#This Row],[EGRESOS]]</f>
        <v>-956</v>
      </c>
      <c r="H282" s="285"/>
      <c r="I282" s="135">
        <v>1140</v>
      </c>
      <c r="J282" s="136">
        <f>Tabla3[[#This Row],[EGRESOS]]/Tabla3[[#This Row],[TC]]</f>
        <v>0.83859649122807023</v>
      </c>
      <c r="K282" s="136">
        <f>Tabla3[[#This Row],[INGRESOS]]/Tabla3[[#This Row],[TC]]</f>
        <v>0</v>
      </c>
      <c r="L282" s="8" t="s">
        <v>303</v>
      </c>
      <c r="M282" s="8" t="s">
        <v>304</v>
      </c>
      <c r="N282" s="8" t="s">
        <v>30</v>
      </c>
      <c r="O282" s="8" t="s">
        <v>184</v>
      </c>
      <c r="P282" s="8" t="s">
        <v>185</v>
      </c>
      <c r="Q282" s="8" t="s">
        <v>186</v>
      </c>
      <c r="R282" s="8"/>
      <c r="S282" s="8"/>
      <c r="T282" s="8"/>
      <c r="U282" s="8" t="s">
        <v>261</v>
      </c>
      <c r="V282" s="8"/>
      <c r="W282" s="8" t="s">
        <v>306</v>
      </c>
      <c r="X282" s="8" t="s">
        <v>98</v>
      </c>
      <c r="Y282" s="8" t="s">
        <v>23</v>
      </c>
    </row>
    <row r="283" spans="1:25" hidden="1" x14ac:dyDescent="0.25">
      <c r="A283" s="283" t="str">
        <f t="shared" si="1"/>
        <v>ABRIL</v>
      </c>
      <c r="B283" s="260">
        <v>45769</v>
      </c>
      <c r="C283" s="261" t="s">
        <v>393</v>
      </c>
      <c r="D283" s="261"/>
      <c r="E283" s="262">
        <v>200.76</v>
      </c>
      <c r="F283" s="262">
        <v>0</v>
      </c>
      <c r="G283" s="285">
        <f>Tabla3[[#This Row],[INGRESOS]]-Tabla3[[#This Row],[EGRESOS]]</f>
        <v>-200.76</v>
      </c>
      <c r="H283" s="285"/>
      <c r="I283" s="135">
        <v>1140</v>
      </c>
      <c r="J283" s="136">
        <f>Tabla3[[#This Row],[EGRESOS]]/Tabla3[[#This Row],[TC]]</f>
        <v>0.17610526315789474</v>
      </c>
      <c r="K283" s="136">
        <f>Tabla3[[#This Row],[INGRESOS]]/Tabla3[[#This Row],[TC]]</f>
        <v>0</v>
      </c>
      <c r="L283" s="8" t="s">
        <v>303</v>
      </c>
      <c r="M283" s="8" t="s">
        <v>304</v>
      </c>
      <c r="N283" s="8" t="s">
        <v>30</v>
      </c>
      <c r="O283" s="8" t="s">
        <v>184</v>
      </c>
      <c r="P283" s="8" t="s">
        <v>187</v>
      </c>
      <c r="Q283" s="8" t="s">
        <v>188</v>
      </c>
      <c r="R283" s="8" t="s">
        <v>308</v>
      </c>
      <c r="S283" s="8"/>
      <c r="T283" s="8"/>
      <c r="U283" s="8" t="s">
        <v>261</v>
      </c>
      <c r="V283" s="8"/>
      <c r="W283" s="8" t="s">
        <v>306</v>
      </c>
      <c r="X283" s="8" t="s">
        <v>98</v>
      </c>
      <c r="Y283" s="8" t="s">
        <v>23</v>
      </c>
    </row>
    <row r="284" spans="1:25" hidden="1" x14ac:dyDescent="0.25">
      <c r="A284" s="283" t="str">
        <f t="shared" si="1"/>
        <v>ABRIL</v>
      </c>
      <c r="B284" s="260">
        <v>45769</v>
      </c>
      <c r="C284" s="261" t="s">
        <v>410</v>
      </c>
      <c r="D284" s="261"/>
      <c r="E284" s="262">
        <v>30</v>
      </c>
      <c r="F284" s="262">
        <v>0</v>
      </c>
      <c r="G284" s="285">
        <f>Tabla3[[#This Row],[INGRESOS]]-Tabla3[[#This Row],[EGRESOS]]</f>
        <v>-30</v>
      </c>
      <c r="H284" s="285"/>
      <c r="I284" s="135">
        <v>1140</v>
      </c>
      <c r="J284" s="136">
        <f>Tabla3[[#This Row],[EGRESOS]]/Tabla3[[#This Row],[TC]]</f>
        <v>2.6315789473684209E-2</v>
      </c>
      <c r="K284" s="136">
        <f>Tabla3[[#This Row],[INGRESOS]]/Tabla3[[#This Row],[TC]]</f>
        <v>0</v>
      </c>
      <c r="L284" s="8" t="s">
        <v>303</v>
      </c>
      <c r="M284" s="8" t="s">
        <v>304</v>
      </c>
      <c r="N284" s="8" t="s">
        <v>30</v>
      </c>
      <c r="O284" s="8" t="s">
        <v>184</v>
      </c>
      <c r="P284" s="8" t="s">
        <v>187</v>
      </c>
      <c r="Q284" s="8" t="s">
        <v>188</v>
      </c>
      <c r="R284" s="8" t="s">
        <v>317</v>
      </c>
      <c r="S284" s="8"/>
      <c r="T284" s="8"/>
      <c r="U284" s="8" t="s">
        <v>261</v>
      </c>
      <c r="V284" s="8"/>
      <c r="W284" s="8" t="s">
        <v>306</v>
      </c>
      <c r="X284" s="8" t="s">
        <v>98</v>
      </c>
      <c r="Y284" s="8" t="s">
        <v>23</v>
      </c>
    </row>
    <row r="285" spans="1:25" hidden="1" x14ac:dyDescent="0.25">
      <c r="A285" s="283" t="str">
        <f t="shared" si="1"/>
        <v>ABRIL</v>
      </c>
      <c r="B285" s="260">
        <v>45769</v>
      </c>
      <c r="C285" s="261" t="s">
        <v>396</v>
      </c>
      <c r="D285" s="261"/>
      <c r="E285" s="262">
        <v>5.74</v>
      </c>
      <c r="F285" s="262">
        <v>0</v>
      </c>
      <c r="G285" s="285">
        <f>Tabla3[[#This Row],[INGRESOS]]-Tabla3[[#This Row],[EGRESOS]]</f>
        <v>-5.74</v>
      </c>
      <c r="H285" s="285"/>
      <c r="I285" s="135">
        <v>1140</v>
      </c>
      <c r="J285" s="136">
        <f>Tabla3[[#This Row],[EGRESOS]]/Tabla3[[#This Row],[TC]]</f>
        <v>5.0350877192982457E-3</v>
      </c>
      <c r="K285" s="136">
        <f>Tabla3[[#This Row],[INGRESOS]]/Tabla3[[#This Row],[TC]]</f>
        <v>0</v>
      </c>
      <c r="L285" s="8" t="s">
        <v>303</v>
      </c>
      <c r="M285" s="8" t="s">
        <v>304</v>
      </c>
      <c r="N285" s="8" t="s">
        <v>30</v>
      </c>
      <c r="O285" s="8" t="s">
        <v>184</v>
      </c>
      <c r="P285" s="8" t="s">
        <v>187</v>
      </c>
      <c r="Q285" s="8" t="s">
        <v>188</v>
      </c>
      <c r="R285" s="8" t="s">
        <v>317</v>
      </c>
      <c r="S285" s="8"/>
      <c r="T285" s="8"/>
      <c r="U285" s="8" t="s">
        <v>261</v>
      </c>
      <c r="V285" s="8"/>
      <c r="W285" s="8" t="s">
        <v>306</v>
      </c>
      <c r="X285" s="8" t="s">
        <v>98</v>
      </c>
      <c r="Y285" s="8" t="s">
        <v>23</v>
      </c>
    </row>
    <row r="286" spans="1:25" hidden="1" x14ac:dyDescent="0.25">
      <c r="A286" s="283" t="str">
        <f t="shared" si="1"/>
        <v>ABRIL</v>
      </c>
      <c r="B286" s="260">
        <v>45769</v>
      </c>
      <c r="C286" s="261" t="s">
        <v>396</v>
      </c>
      <c r="D286" s="261"/>
      <c r="E286" s="262">
        <v>1.2</v>
      </c>
      <c r="F286" s="262">
        <v>0</v>
      </c>
      <c r="G286" s="285">
        <f>Tabla3[[#This Row],[INGRESOS]]-Tabla3[[#This Row],[EGRESOS]]</f>
        <v>-1.2</v>
      </c>
      <c r="H286" s="321">
        <v>-3109922.08</v>
      </c>
      <c r="I286" s="135">
        <v>1140</v>
      </c>
      <c r="J286" s="136">
        <f>Tabla3[[#This Row],[EGRESOS]]/Tabla3[[#This Row],[TC]]</f>
        <v>1.0526315789473684E-3</v>
      </c>
      <c r="K286" s="136">
        <f>Tabla3[[#This Row],[INGRESOS]]/Tabla3[[#This Row],[TC]]</f>
        <v>0</v>
      </c>
      <c r="L286" s="8" t="s">
        <v>303</v>
      </c>
      <c r="M286" s="8" t="s">
        <v>304</v>
      </c>
      <c r="N286" s="8" t="s">
        <v>30</v>
      </c>
      <c r="O286" s="8" t="s">
        <v>184</v>
      </c>
      <c r="P286" s="8" t="s">
        <v>187</v>
      </c>
      <c r="Q286" s="8" t="s">
        <v>188</v>
      </c>
      <c r="R286" s="8" t="s">
        <v>317</v>
      </c>
      <c r="S286" s="8"/>
      <c r="T286" s="8"/>
      <c r="U286" s="8" t="s">
        <v>261</v>
      </c>
      <c r="V286" s="8"/>
      <c r="W286" s="8" t="s">
        <v>306</v>
      </c>
      <c r="X286" s="8" t="s">
        <v>98</v>
      </c>
      <c r="Y286" s="8" t="s">
        <v>23</v>
      </c>
    </row>
    <row r="287" spans="1:25" hidden="1" x14ac:dyDescent="0.25">
      <c r="A287" s="283" t="str">
        <f t="shared" si="1"/>
        <v>ABRIL</v>
      </c>
      <c r="B287" s="260">
        <v>45776</v>
      </c>
      <c r="C287" s="261" t="s">
        <v>356</v>
      </c>
      <c r="D287" s="261"/>
      <c r="E287" s="262">
        <v>53747.18</v>
      </c>
      <c r="F287" s="262">
        <v>0</v>
      </c>
      <c r="G287" s="285">
        <f>Tabla3[[#This Row],[INGRESOS]]-Tabla3[[#This Row],[EGRESOS]]</f>
        <v>-53747.18</v>
      </c>
      <c r="H287" s="321"/>
      <c r="I287" s="135">
        <v>1140</v>
      </c>
      <c r="J287" s="136">
        <f>Tabla3[[#This Row],[EGRESOS]]/Tabla3[[#This Row],[TC]]</f>
        <v>47.14664912280702</v>
      </c>
      <c r="K287" s="136">
        <f>Tabla3[[#This Row],[INGRESOS]]/Tabla3[[#This Row],[TC]]</f>
        <v>0</v>
      </c>
      <c r="L287" s="8" t="s">
        <v>303</v>
      </c>
      <c r="M287" s="8" t="s">
        <v>304</v>
      </c>
      <c r="N287" s="8" t="s">
        <v>30</v>
      </c>
      <c r="O287" s="8" t="s">
        <v>184</v>
      </c>
      <c r="P287" s="8" t="s">
        <v>189</v>
      </c>
      <c r="Q287" s="8" t="s">
        <v>190</v>
      </c>
      <c r="R287" s="8"/>
      <c r="S287" s="8"/>
      <c r="T287" s="8"/>
      <c r="U287" s="8" t="s">
        <v>261</v>
      </c>
      <c r="V287" s="8"/>
      <c r="W287" s="8" t="s">
        <v>392</v>
      </c>
      <c r="X287" s="8" t="s">
        <v>98</v>
      </c>
      <c r="Y287" s="8" t="s">
        <v>23</v>
      </c>
    </row>
    <row r="288" spans="1:25" hidden="1" x14ac:dyDescent="0.25">
      <c r="A288" s="283" t="str">
        <f t="shared" si="1"/>
        <v>ABRIL</v>
      </c>
      <c r="B288" s="260">
        <v>45776</v>
      </c>
      <c r="C288" s="261" t="s">
        <v>356</v>
      </c>
      <c r="D288" s="261"/>
      <c r="E288" s="262">
        <v>41710.47</v>
      </c>
      <c r="F288" s="262">
        <v>0</v>
      </c>
      <c r="G288" s="285">
        <f>Tabla3[[#This Row],[INGRESOS]]-Tabla3[[#This Row],[EGRESOS]]</f>
        <v>-41710.47</v>
      </c>
      <c r="H288" s="321"/>
      <c r="I288" s="135">
        <v>1140</v>
      </c>
      <c r="J288" s="136">
        <f>Tabla3[[#This Row],[EGRESOS]]/Tabla3[[#This Row],[TC]]</f>
        <v>36.588131578947369</v>
      </c>
      <c r="K288" s="136">
        <f>Tabla3[[#This Row],[INGRESOS]]/Tabla3[[#This Row],[TC]]</f>
        <v>0</v>
      </c>
      <c r="L288" s="8" t="s">
        <v>303</v>
      </c>
      <c r="M288" s="8" t="s">
        <v>304</v>
      </c>
      <c r="N288" s="8" t="s">
        <v>30</v>
      </c>
      <c r="O288" s="8" t="s">
        <v>184</v>
      </c>
      <c r="P288" s="8" t="s">
        <v>189</v>
      </c>
      <c r="Q288" s="8" t="s">
        <v>190</v>
      </c>
      <c r="R288" s="8"/>
      <c r="S288" s="8"/>
      <c r="T288" s="8"/>
      <c r="U288" s="8" t="s">
        <v>261</v>
      </c>
      <c r="V288" s="8"/>
      <c r="W288" s="8" t="s">
        <v>392</v>
      </c>
      <c r="X288" s="8" t="s">
        <v>98</v>
      </c>
      <c r="Y288" s="8" t="s">
        <v>23</v>
      </c>
    </row>
    <row r="289" spans="1:25" hidden="1" x14ac:dyDescent="0.25">
      <c r="A289" s="283" t="str">
        <f t="shared" si="1"/>
        <v>ABRIL</v>
      </c>
      <c r="B289" s="260">
        <v>45776</v>
      </c>
      <c r="C289" s="261" t="s">
        <v>356</v>
      </c>
      <c r="D289" s="261"/>
      <c r="E289" s="262">
        <v>127.45</v>
      </c>
      <c r="F289" s="262">
        <v>0</v>
      </c>
      <c r="G289" s="285">
        <f>Tabla3[[#This Row],[INGRESOS]]-Tabla3[[#This Row],[EGRESOS]]</f>
        <v>-127.45</v>
      </c>
      <c r="H289" s="321"/>
      <c r="I289" s="135">
        <v>1140</v>
      </c>
      <c r="J289" s="136">
        <f>Tabla3[[#This Row],[EGRESOS]]/Tabla3[[#This Row],[TC]]</f>
        <v>0.11179824561403509</v>
      </c>
      <c r="K289" s="136">
        <f>Tabla3[[#This Row],[INGRESOS]]/Tabla3[[#This Row],[TC]]</f>
        <v>0</v>
      </c>
      <c r="L289" s="8" t="s">
        <v>303</v>
      </c>
      <c r="M289" s="8" t="s">
        <v>304</v>
      </c>
      <c r="N289" s="8" t="s">
        <v>30</v>
      </c>
      <c r="O289" s="8" t="s">
        <v>184</v>
      </c>
      <c r="P289" s="8" t="s">
        <v>189</v>
      </c>
      <c r="Q289" s="8" t="s">
        <v>190</v>
      </c>
      <c r="R289" s="8"/>
      <c r="S289" s="8"/>
      <c r="T289" s="8"/>
      <c r="U289" s="8" t="s">
        <v>261</v>
      </c>
      <c r="V289" s="8"/>
      <c r="W289" s="8" t="s">
        <v>392</v>
      </c>
      <c r="X289" s="8" t="s">
        <v>98</v>
      </c>
      <c r="Y289" s="8" t="s">
        <v>23</v>
      </c>
    </row>
    <row r="290" spans="1:25" hidden="1" x14ac:dyDescent="0.25">
      <c r="A290" s="283" t="str">
        <f t="shared" si="1"/>
        <v>ABRIL</v>
      </c>
      <c r="B290" s="260">
        <v>45776</v>
      </c>
      <c r="C290" s="261" t="s">
        <v>356</v>
      </c>
      <c r="D290" s="261"/>
      <c r="E290" s="262">
        <v>192.54</v>
      </c>
      <c r="F290" s="262">
        <v>0</v>
      </c>
      <c r="G290" s="285">
        <f>Tabla3[[#This Row],[INGRESOS]]-Tabla3[[#This Row],[EGRESOS]]</f>
        <v>-192.54</v>
      </c>
      <c r="H290" s="321"/>
      <c r="I290" s="135">
        <v>1140</v>
      </c>
      <c r="J290" s="136">
        <f>Tabla3[[#This Row],[EGRESOS]]/Tabla3[[#This Row],[TC]]</f>
        <v>0.16889473684210526</v>
      </c>
      <c r="K290" s="136">
        <f>Tabla3[[#This Row],[INGRESOS]]/Tabla3[[#This Row],[TC]]</f>
        <v>0</v>
      </c>
      <c r="L290" s="8" t="s">
        <v>303</v>
      </c>
      <c r="M290" s="8" t="s">
        <v>304</v>
      </c>
      <c r="N290" s="8" t="s">
        <v>30</v>
      </c>
      <c r="O290" s="8" t="s">
        <v>184</v>
      </c>
      <c r="P290" s="8" t="s">
        <v>189</v>
      </c>
      <c r="Q290" s="8" t="s">
        <v>190</v>
      </c>
      <c r="R290" s="8"/>
      <c r="S290" s="8"/>
      <c r="T290" s="8"/>
      <c r="U290" s="8" t="s">
        <v>261</v>
      </c>
      <c r="V290" s="8"/>
      <c r="W290" s="8" t="s">
        <v>392</v>
      </c>
      <c r="X290" s="8" t="s">
        <v>98</v>
      </c>
      <c r="Y290" s="8" t="s">
        <v>23</v>
      </c>
    </row>
    <row r="291" spans="1:25" hidden="1" x14ac:dyDescent="0.25">
      <c r="A291" s="283" t="str">
        <f t="shared" si="1"/>
        <v>ABRIL</v>
      </c>
      <c r="B291" s="260">
        <v>45776</v>
      </c>
      <c r="C291" s="261" t="s">
        <v>356</v>
      </c>
      <c r="D291" s="261"/>
      <c r="E291" s="262">
        <v>13222.9</v>
      </c>
      <c r="F291" s="262">
        <v>0</v>
      </c>
      <c r="G291" s="285">
        <f>Tabla3[[#This Row],[INGRESOS]]-Tabla3[[#This Row],[EGRESOS]]</f>
        <v>-13222.9</v>
      </c>
      <c r="H291" s="321"/>
      <c r="I291" s="135">
        <v>1140</v>
      </c>
      <c r="J291" s="136">
        <f>Tabla3[[#This Row],[EGRESOS]]/Tabla3[[#This Row],[TC]]</f>
        <v>11.599035087719297</v>
      </c>
      <c r="K291" s="136">
        <f>Tabla3[[#This Row],[INGRESOS]]/Tabla3[[#This Row],[TC]]</f>
        <v>0</v>
      </c>
      <c r="L291" s="8" t="s">
        <v>303</v>
      </c>
      <c r="M291" s="8" t="s">
        <v>304</v>
      </c>
      <c r="N291" s="8" t="s">
        <v>30</v>
      </c>
      <c r="O291" s="8" t="s">
        <v>184</v>
      </c>
      <c r="P291" s="8" t="s">
        <v>189</v>
      </c>
      <c r="Q291" s="8" t="s">
        <v>190</v>
      </c>
      <c r="R291" s="8"/>
      <c r="S291" s="8"/>
      <c r="T291" s="8"/>
      <c r="U291" s="8" t="s">
        <v>261</v>
      </c>
      <c r="V291" s="8"/>
      <c r="W291" s="8" t="s">
        <v>392</v>
      </c>
      <c r="X291" s="8" t="s">
        <v>98</v>
      </c>
      <c r="Y291" s="8" t="s">
        <v>23</v>
      </c>
    </row>
    <row r="292" spans="1:25" hidden="1" x14ac:dyDescent="0.25">
      <c r="A292" s="283" t="str">
        <f t="shared" si="1"/>
        <v>ABRIL</v>
      </c>
      <c r="B292" s="260">
        <v>45776</v>
      </c>
      <c r="C292" s="261" t="s">
        <v>356</v>
      </c>
      <c r="D292" s="261"/>
      <c r="E292" s="262">
        <v>2364.1799999999998</v>
      </c>
      <c r="F292" s="262">
        <v>0</v>
      </c>
      <c r="G292" s="285">
        <f>Tabla3[[#This Row],[INGRESOS]]-Tabla3[[#This Row],[EGRESOS]]</f>
        <v>-2364.1799999999998</v>
      </c>
      <c r="H292" s="321"/>
      <c r="I292" s="135">
        <v>1140</v>
      </c>
      <c r="J292" s="136">
        <f>Tabla3[[#This Row],[EGRESOS]]/Tabla3[[#This Row],[TC]]</f>
        <v>2.0738421052631577</v>
      </c>
      <c r="K292" s="136">
        <f>Tabla3[[#This Row],[INGRESOS]]/Tabla3[[#This Row],[TC]]</f>
        <v>0</v>
      </c>
      <c r="L292" s="8" t="s">
        <v>303</v>
      </c>
      <c r="M292" s="8" t="s">
        <v>304</v>
      </c>
      <c r="N292" s="8" t="s">
        <v>30</v>
      </c>
      <c r="O292" s="8" t="s">
        <v>184</v>
      </c>
      <c r="P292" s="8" t="s">
        <v>189</v>
      </c>
      <c r="Q292" s="8" t="s">
        <v>190</v>
      </c>
      <c r="R292" s="8"/>
      <c r="S292" s="8"/>
      <c r="T292" s="8"/>
      <c r="U292" s="8" t="s">
        <v>261</v>
      </c>
      <c r="V292" s="8"/>
      <c r="W292" s="8" t="s">
        <v>392</v>
      </c>
      <c r="X292" s="8" t="s">
        <v>98</v>
      </c>
      <c r="Y292" s="8" t="s">
        <v>23</v>
      </c>
    </row>
    <row r="293" spans="1:25" hidden="1" x14ac:dyDescent="0.25">
      <c r="A293" s="283" t="str">
        <f t="shared" si="1"/>
        <v>ABRIL</v>
      </c>
      <c r="B293" s="260">
        <v>45776</v>
      </c>
      <c r="C293" s="261" t="s">
        <v>421</v>
      </c>
      <c r="D293" s="261"/>
      <c r="E293" s="262">
        <v>0</v>
      </c>
      <c r="F293" s="262">
        <v>120000</v>
      </c>
      <c r="G293" s="285">
        <f>Tabla3[[#This Row],[INGRESOS]]-Tabla3[[#This Row],[EGRESOS]]</f>
        <v>120000</v>
      </c>
      <c r="H293" s="321"/>
      <c r="I293" s="135">
        <v>1140</v>
      </c>
      <c r="J293" s="136">
        <f>Tabla3[[#This Row],[EGRESOS]]/Tabla3[[#This Row],[TC]]</f>
        <v>0</v>
      </c>
      <c r="K293" s="136">
        <f>Tabla3[[#This Row],[INGRESOS]]/Tabla3[[#This Row],[TC]]</f>
        <v>105.26315789473684</v>
      </c>
      <c r="L293" s="8" t="s">
        <v>303</v>
      </c>
      <c r="M293" s="8" t="s">
        <v>304</v>
      </c>
      <c r="N293" s="8" t="s">
        <v>30</v>
      </c>
      <c r="O293" s="8" t="s">
        <v>184</v>
      </c>
      <c r="P293" s="8" t="s">
        <v>194</v>
      </c>
      <c r="Q293" s="8" t="s">
        <v>236</v>
      </c>
      <c r="R293" s="8" t="s">
        <v>432</v>
      </c>
      <c r="S293" s="8" t="s">
        <v>311</v>
      </c>
      <c r="T293" s="8"/>
      <c r="U293" s="8" t="s">
        <v>272</v>
      </c>
      <c r="V293" s="8" t="s">
        <v>311</v>
      </c>
      <c r="W293" s="8" t="s">
        <v>306</v>
      </c>
      <c r="X293" s="8" t="s">
        <v>23</v>
      </c>
      <c r="Y293" s="8" t="s">
        <v>97</v>
      </c>
    </row>
    <row r="294" spans="1:25" hidden="1" x14ac:dyDescent="0.25">
      <c r="A294" s="283" t="str">
        <f t="shared" si="1"/>
        <v>ABRIL</v>
      </c>
      <c r="B294" s="260">
        <v>45776</v>
      </c>
      <c r="C294" s="261" t="s">
        <v>430</v>
      </c>
      <c r="D294" s="261"/>
      <c r="E294" s="262">
        <v>3599.06</v>
      </c>
      <c r="F294" s="262">
        <v>0</v>
      </c>
      <c r="G294" s="285">
        <f>Tabla3[[#This Row],[INGRESOS]]-Tabla3[[#This Row],[EGRESOS]]</f>
        <v>-3599.06</v>
      </c>
      <c r="H294" s="321"/>
      <c r="I294" s="135">
        <v>1140</v>
      </c>
      <c r="J294" s="136">
        <f>Tabla3[[#This Row],[EGRESOS]]/Tabla3[[#This Row],[TC]]</f>
        <v>3.1570701754385966</v>
      </c>
      <c r="K294" s="136">
        <f>Tabla3[[#This Row],[INGRESOS]]/Tabla3[[#This Row],[TC]]</f>
        <v>0</v>
      </c>
      <c r="L294" s="8" t="s">
        <v>303</v>
      </c>
      <c r="M294" s="8" t="s">
        <v>304</v>
      </c>
      <c r="N294" s="8" t="s">
        <v>30</v>
      </c>
      <c r="O294" s="8" t="s">
        <v>184</v>
      </c>
      <c r="P294" s="8" t="s">
        <v>189</v>
      </c>
      <c r="Q294" s="8" t="s">
        <v>190</v>
      </c>
      <c r="R294" s="8"/>
      <c r="S294" s="8"/>
      <c r="T294" s="8"/>
      <c r="U294" s="8" t="s">
        <v>261</v>
      </c>
      <c r="V294" s="8"/>
      <c r="W294" s="8" t="s">
        <v>392</v>
      </c>
      <c r="X294" s="8" t="s">
        <v>98</v>
      </c>
      <c r="Y294" s="8" t="s">
        <v>23</v>
      </c>
    </row>
    <row r="295" spans="1:25" hidden="1" x14ac:dyDescent="0.25">
      <c r="A295" s="283" t="str">
        <f t="shared" si="1"/>
        <v>ABRIL</v>
      </c>
      <c r="B295" s="260">
        <v>45776</v>
      </c>
      <c r="C295" s="261" t="s">
        <v>396</v>
      </c>
      <c r="D295" s="261"/>
      <c r="E295" s="262">
        <v>322.48</v>
      </c>
      <c r="F295" s="262">
        <v>0</v>
      </c>
      <c r="G295" s="285">
        <f>Tabla3[[#This Row],[INGRESOS]]-Tabla3[[#This Row],[EGRESOS]]</f>
        <v>-322.48</v>
      </c>
      <c r="H295" s="321"/>
      <c r="I295" s="135">
        <v>1140</v>
      </c>
      <c r="J295" s="136">
        <f>Tabla3[[#This Row],[EGRESOS]]/Tabla3[[#This Row],[TC]]</f>
        <v>0.28287719298245617</v>
      </c>
      <c r="K295" s="136">
        <f>Tabla3[[#This Row],[INGRESOS]]/Tabla3[[#This Row],[TC]]</f>
        <v>0</v>
      </c>
      <c r="L295" s="8" t="s">
        <v>303</v>
      </c>
      <c r="M295" s="8" t="s">
        <v>304</v>
      </c>
      <c r="N295" s="8" t="s">
        <v>30</v>
      </c>
      <c r="O295" s="8" t="s">
        <v>184</v>
      </c>
      <c r="P295" s="8" t="s">
        <v>187</v>
      </c>
      <c r="Q295" s="8" t="s">
        <v>188</v>
      </c>
      <c r="R295" s="8" t="s">
        <v>317</v>
      </c>
      <c r="S295" s="8"/>
      <c r="T295" s="8"/>
      <c r="U295" s="8" t="s">
        <v>261</v>
      </c>
      <c r="V295" s="8"/>
      <c r="W295" s="8" t="s">
        <v>306</v>
      </c>
      <c r="X295" s="8" t="s">
        <v>98</v>
      </c>
      <c r="Y295" s="8" t="s">
        <v>23</v>
      </c>
    </row>
    <row r="296" spans="1:25" hidden="1" x14ac:dyDescent="0.25">
      <c r="A296" s="283" t="str">
        <f t="shared" si="1"/>
        <v>ABRIL</v>
      </c>
      <c r="B296" s="260">
        <v>45776</v>
      </c>
      <c r="C296" s="261" t="s">
        <v>396</v>
      </c>
      <c r="D296" s="261"/>
      <c r="E296" s="262">
        <v>250.26</v>
      </c>
      <c r="F296" s="262">
        <v>0</v>
      </c>
      <c r="G296" s="285">
        <f>Tabla3[[#This Row],[INGRESOS]]-Tabla3[[#This Row],[EGRESOS]]</f>
        <v>-250.26</v>
      </c>
      <c r="H296" s="321"/>
      <c r="I296" s="135">
        <v>1140</v>
      </c>
      <c r="J296" s="136">
        <f>Tabla3[[#This Row],[EGRESOS]]/Tabla3[[#This Row],[TC]]</f>
        <v>0.21952631578947368</v>
      </c>
      <c r="K296" s="136">
        <f>Tabla3[[#This Row],[INGRESOS]]/Tabla3[[#This Row],[TC]]</f>
        <v>0</v>
      </c>
      <c r="L296" s="8" t="s">
        <v>303</v>
      </c>
      <c r="M296" s="8" t="s">
        <v>304</v>
      </c>
      <c r="N296" s="8" t="s">
        <v>30</v>
      </c>
      <c r="O296" s="8" t="s">
        <v>184</v>
      </c>
      <c r="P296" s="8" t="s">
        <v>187</v>
      </c>
      <c r="Q296" s="8" t="s">
        <v>188</v>
      </c>
      <c r="R296" s="8" t="s">
        <v>317</v>
      </c>
      <c r="S296" s="8"/>
      <c r="T296" s="8"/>
      <c r="U296" s="8" t="s">
        <v>261</v>
      </c>
      <c r="V296" s="8"/>
      <c r="W296" s="8" t="s">
        <v>306</v>
      </c>
      <c r="X296" s="8" t="s">
        <v>98</v>
      </c>
      <c r="Y296" s="8" t="s">
        <v>23</v>
      </c>
    </row>
    <row r="297" spans="1:25" hidden="1" x14ac:dyDescent="0.25">
      <c r="A297" s="283" t="str">
        <f t="shared" si="1"/>
        <v>ABRIL</v>
      </c>
      <c r="B297" s="260">
        <v>45776</v>
      </c>
      <c r="C297" s="261" t="s">
        <v>396</v>
      </c>
      <c r="D297" s="261"/>
      <c r="E297" s="262">
        <v>0.76</v>
      </c>
      <c r="F297" s="262">
        <v>0</v>
      </c>
      <c r="G297" s="285">
        <f>Tabla3[[#This Row],[INGRESOS]]-Tabla3[[#This Row],[EGRESOS]]</f>
        <v>-0.76</v>
      </c>
      <c r="H297" s="321"/>
      <c r="I297" s="135">
        <v>1140</v>
      </c>
      <c r="J297" s="136">
        <f>Tabla3[[#This Row],[EGRESOS]]/Tabla3[[#This Row],[TC]]</f>
        <v>6.6666666666666664E-4</v>
      </c>
      <c r="K297" s="136">
        <f>Tabla3[[#This Row],[INGRESOS]]/Tabla3[[#This Row],[TC]]</f>
        <v>0</v>
      </c>
      <c r="L297" s="8" t="s">
        <v>303</v>
      </c>
      <c r="M297" s="8" t="s">
        <v>304</v>
      </c>
      <c r="N297" s="8" t="s">
        <v>30</v>
      </c>
      <c r="O297" s="8" t="s">
        <v>184</v>
      </c>
      <c r="P297" s="8" t="s">
        <v>187</v>
      </c>
      <c r="Q297" s="8" t="s">
        <v>188</v>
      </c>
      <c r="R297" s="8" t="s">
        <v>317</v>
      </c>
      <c r="S297" s="8"/>
      <c r="T297" s="8"/>
      <c r="U297" s="8" t="s">
        <v>261</v>
      </c>
      <c r="V297" s="8"/>
      <c r="W297" s="8" t="s">
        <v>306</v>
      </c>
      <c r="X297" s="8" t="s">
        <v>98</v>
      </c>
      <c r="Y297" s="8" t="s">
        <v>23</v>
      </c>
    </row>
    <row r="298" spans="1:25" hidden="1" x14ac:dyDescent="0.25">
      <c r="A298" s="283" t="str">
        <f t="shared" si="1"/>
        <v>ABRIL</v>
      </c>
      <c r="B298" s="260">
        <v>45776</v>
      </c>
      <c r="C298" s="261" t="s">
        <v>396</v>
      </c>
      <c r="D298" s="261"/>
      <c r="E298" s="262">
        <v>1.1599999999999999</v>
      </c>
      <c r="F298" s="262">
        <v>0</v>
      </c>
      <c r="G298" s="285">
        <f>Tabla3[[#This Row],[INGRESOS]]-Tabla3[[#This Row],[EGRESOS]]</f>
        <v>-1.1599999999999999</v>
      </c>
      <c r="H298" s="321"/>
      <c r="I298" s="135">
        <v>1140</v>
      </c>
      <c r="J298" s="136">
        <f>Tabla3[[#This Row],[EGRESOS]]/Tabla3[[#This Row],[TC]]</f>
        <v>1.0175438596491228E-3</v>
      </c>
      <c r="K298" s="136">
        <f>Tabla3[[#This Row],[INGRESOS]]/Tabla3[[#This Row],[TC]]</f>
        <v>0</v>
      </c>
      <c r="L298" s="8" t="s">
        <v>303</v>
      </c>
      <c r="M298" s="8" t="s">
        <v>304</v>
      </c>
      <c r="N298" s="8" t="s">
        <v>30</v>
      </c>
      <c r="O298" s="8" t="s">
        <v>184</v>
      </c>
      <c r="P298" s="8" t="s">
        <v>187</v>
      </c>
      <c r="Q298" s="8" t="s">
        <v>188</v>
      </c>
      <c r="R298" s="8" t="s">
        <v>317</v>
      </c>
      <c r="S298" s="8"/>
      <c r="T298" s="8"/>
      <c r="U298" s="8" t="s">
        <v>261</v>
      </c>
      <c r="V298" s="8"/>
      <c r="W298" s="8" t="s">
        <v>306</v>
      </c>
      <c r="X298" s="8" t="s">
        <v>98</v>
      </c>
      <c r="Y298" s="8" t="s">
        <v>23</v>
      </c>
    </row>
    <row r="299" spans="1:25" hidden="1" x14ac:dyDescent="0.25">
      <c r="A299" s="283" t="str">
        <f t="shared" si="1"/>
        <v>ABRIL</v>
      </c>
      <c r="B299" s="260">
        <v>45776</v>
      </c>
      <c r="C299" s="261" t="s">
        <v>396</v>
      </c>
      <c r="D299" s="261"/>
      <c r="E299" s="262">
        <v>79.34</v>
      </c>
      <c r="F299" s="262">
        <v>0</v>
      </c>
      <c r="G299" s="285">
        <f>Tabla3[[#This Row],[INGRESOS]]-Tabla3[[#This Row],[EGRESOS]]</f>
        <v>-79.34</v>
      </c>
      <c r="H299" s="321"/>
      <c r="I299" s="135">
        <v>1140</v>
      </c>
      <c r="J299" s="136">
        <f>Tabla3[[#This Row],[EGRESOS]]/Tabla3[[#This Row],[TC]]</f>
        <v>6.9596491228070184E-2</v>
      </c>
      <c r="K299" s="136">
        <f>Tabla3[[#This Row],[INGRESOS]]/Tabla3[[#This Row],[TC]]</f>
        <v>0</v>
      </c>
      <c r="L299" s="8" t="s">
        <v>303</v>
      </c>
      <c r="M299" s="8" t="s">
        <v>304</v>
      </c>
      <c r="N299" s="8" t="s">
        <v>30</v>
      </c>
      <c r="O299" s="8" t="s">
        <v>184</v>
      </c>
      <c r="P299" s="8" t="s">
        <v>187</v>
      </c>
      <c r="Q299" s="8" t="s">
        <v>188</v>
      </c>
      <c r="R299" s="8" t="s">
        <v>317</v>
      </c>
      <c r="S299" s="8"/>
      <c r="T299" s="8"/>
      <c r="U299" s="8" t="s">
        <v>261</v>
      </c>
      <c r="V299" s="8"/>
      <c r="W299" s="8" t="s">
        <v>306</v>
      </c>
      <c r="X299" s="8" t="s">
        <v>98</v>
      </c>
      <c r="Y299" s="8" t="s">
        <v>23</v>
      </c>
    </row>
    <row r="300" spans="1:25" hidden="1" x14ac:dyDescent="0.25">
      <c r="A300" s="283" t="str">
        <f t="shared" si="1"/>
        <v>ABRIL</v>
      </c>
      <c r="B300" s="260">
        <v>45776</v>
      </c>
      <c r="C300" s="261" t="s">
        <v>396</v>
      </c>
      <c r="D300" s="261"/>
      <c r="E300" s="262">
        <v>14.19</v>
      </c>
      <c r="F300" s="262">
        <v>0</v>
      </c>
      <c r="G300" s="285">
        <f>Tabla3[[#This Row],[INGRESOS]]-Tabla3[[#This Row],[EGRESOS]]</f>
        <v>-14.19</v>
      </c>
      <c r="H300" s="321"/>
      <c r="I300" s="135">
        <v>1140</v>
      </c>
      <c r="J300" s="136">
        <f>Tabla3[[#This Row],[EGRESOS]]/Tabla3[[#This Row],[TC]]</f>
        <v>1.2447368421052631E-2</v>
      </c>
      <c r="K300" s="136">
        <f>Tabla3[[#This Row],[INGRESOS]]/Tabla3[[#This Row],[TC]]</f>
        <v>0</v>
      </c>
      <c r="L300" s="8" t="s">
        <v>303</v>
      </c>
      <c r="M300" s="8" t="s">
        <v>304</v>
      </c>
      <c r="N300" s="8" t="s">
        <v>30</v>
      </c>
      <c r="O300" s="8" t="s">
        <v>184</v>
      </c>
      <c r="P300" s="8" t="s">
        <v>187</v>
      </c>
      <c r="Q300" s="8" t="s">
        <v>188</v>
      </c>
      <c r="R300" s="8" t="s">
        <v>317</v>
      </c>
      <c r="S300" s="8"/>
      <c r="T300" s="8"/>
      <c r="U300" s="8" t="s">
        <v>261</v>
      </c>
      <c r="V300" s="8"/>
      <c r="W300" s="8" t="s">
        <v>306</v>
      </c>
      <c r="X300" s="8" t="s">
        <v>98</v>
      </c>
      <c r="Y300" s="8" t="s">
        <v>23</v>
      </c>
    </row>
    <row r="301" spans="1:25" hidden="1" x14ac:dyDescent="0.25">
      <c r="A301" s="283" t="str">
        <f t="shared" si="1"/>
        <v>ABRIL</v>
      </c>
      <c r="B301" s="260">
        <v>45776</v>
      </c>
      <c r="C301" s="261" t="s">
        <v>410</v>
      </c>
      <c r="D301" s="261"/>
      <c r="E301" s="262">
        <v>720</v>
      </c>
      <c r="F301" s="262">
        <v>0</v>
      </c>
      <c r="G301" s="285">
        <f>Tabla3[[#This Row],[INGRESOS]]-Tabla3[[#This Row],[EGRESOS]]</f>
        <v>-720</v>
      </c>
      <c r="H301" s="321"/>
      <c r="I301" s="135">
        <v>1140</v>
      </c>
      <c r="J301" s="136">
        <f>Tabla3[[#This Row],[EGRESOS]]/Tabla3[[#This Row],[TC]]</f>
        <v>0.63157894736842102</v>
      </c>
      <c r="K301" s="136">
        <f>Tabla3[[#This Row],[INGRESOS]]/Tabla3[[#This Row],[TC]]</f>
        <v>0</v>
      </c>
      <c r="L301" s="8" t="s">
        <v>303</v>
      </c>
      <c r="M301" s="8" t="s">
        <v>304</v>
      </c>
      <c r="N301" s="8" t="s">
        <v>30</v>
      </c>
      <c r="O301" s="8" t="s">
        <v>184</v>
      </c>
      <c r="P301" s="8" t="s">
        <v>187</v>
      </c>
      <c r="Q301" s="8" t="s">
        <v>188</v>
      </c>
      <c r="R301" s="8" t="s">
        <v>317</v>
      </c>
      <c r="S301" s="8"/>
      <c r="T301" s="8"/>
      <c r="U301" s="8" t="s">
        <v>261</v>
      </c>
      <c r="V301" s="8"/>
      <c r="W301" s="8" t="s">
        <v>306</v>
      </c>
      <c r="X301" s="8" t="s">
        <v>98</v>
      </c>
      <c r="Y301" s="8" t="s">
        <v>23</v>
      </c>
    </row>
    <row r="302" spans="1:25" hidden="1" x14ac:dyDescent="0.25">
      <c r="A302" s="283" t="str">
        <f t="shared" si="1"/>
        <v>ABRIL</v>
      </c>
      <c r="B302" s="260">
        <v>45776</v>
      </c>
      <c r="C302" s="261" t="s">
        <v>396</v>
      </c>
      <c r="D302" s="261"/>
      <c r="E302" s="262">
        <v>21.59</v>
      </c>
      <c r="F302" s="262">
        <v>0</v>
      </c>
      <c r="G302" s="285">
        <f>Tabla3[[#This Row],[INGRESOS]]-Tabla3[[#This Row],[EGRESOS]]</f>
        <v>-21.59</v>
      </c>
      <c r="H302" s="355">
        <v>-2994930.92</v>
      </c>
      <c r="I302" s="135">
        <v>1140</v>
      </c>
      <c r="J302" s="136">
        <f>Tabla3[[#This Row],[EGRESOS]]/Tabla3[[#This Row],[TC]]</f>
        <v>1.8938596491228071E-2</v>
      </c>
      <c r="K302" s="136">
        <f>Tabla3[[#This Row],[INGRESOS]]/Tabla3[[#This Row],[TC]]</f>
        <v>0</v>
      </c>
      <c r="L302" s="8" t="s">
        <v>303</v>
      </c>
      <c r="M302" s="8" t="s">
        <v>304</v>
      </c>
      <c r="N302" s="8" t="s">
        <v>30</v>
      </c>
      <c r="O302" s="8" t="s">
        <v>184</v>
      </c>
      <c r="P302" s="8" t="s">
        <v>187</v>
      </c>
      <c r="Q302" s="8" t="s">
        <v>188</v>
      </c>
      <c r="R302" s="8" t="s">
        <v>317</v>
      </c>
      <c r="S302" s="8"/>
      <c r="T302" s="8"/>
      <c r="U302" s="8" t="s">
        <v>261</v>
      </c>
      <c r="V302" s="8"/>
      <c r="W302" s="8" t="s">
        <v>306</v>
      </c>
      <c r="X302" s="8" t="s">
        <v>98</v>
      </c>
      <c r="Y302" s="8" t="s">
        <v>23</v>
      </c>
    </row>
    <row r="303" spans="1:25" hidden="1" x14ac:dyDescent="0.25">
      <c r="A303" s="283" t="s">
        <v>247</v>
      </c>
      <c r="B303" s="260">
        <v>45782</v>
      </c>
      <c r="C303" s="261" t="s">
        <v>417</v>
      </c>
      <c r="D303" s="261"/>
      <c r="E303" s="262">
        <v>0</v>
      </c>
      <c r="F303" s="262">
        <v>1280000</v>
      </c>
      <c r="G303" s="285">
        <f>Tabla3[[#This Row],[INGRESOS]]-Tabla3[[#This Row],[EGRESOS]]</f>
        <v>1280000</v>
      </c>
      <c r="H303" s="355"/>
      <c r="I303" s="135">
        <v>1141</v>
      </c>
      <c r="J303" s="136">
        <f>Tabla3[[#This Row],[EGRESOS]]/Tabla3[[#This Row],[TC]]</f>
        <v>0</v>
      </c>
      <c r="K303" s="136">
        <f>Tabla3[[#This Row],[INGRESOS]]/Tabla3[[#This Row],[TC]]</f>
        <v>1121.8229623137599</v>
      </c>
      <c r="L303" s="8" t="s">
        <v>303</v>
      </c>
      <c r="M303" s="8" t="s">
        <v>304</v>
      </c>
      <c r="N303" s="8" t="s">
        <v>30</v>
      </c>
      <c r="O303" s="8" t="s">
        <v>184</v>
      </c>
      <c r="P303" s="8" t="s">
        <v>237</v>
      </c>
      <c r="Q303" s="8" t="s">
        <v>236</v>
      </c>
      <c r="R303" s="8" t="s">
        <v>433</v>
      </c>
      <c r="S303" s="8" t="s">
        <v>418</v>
      </c>
      <c r="T303" s="8"/>
      <c r="U303" s="8" t="s">
        <v>273</v>
      </c>
      <c r="V303" s="8"/>
      <c r="W303" s="8" t="s">
        <v>306</v>
      </c>
      <c r="X303" s="8" t="s">
        <v>23</v>
      </c>
      <c r="Y303" s="8" t="s">
        <v>39</v>
      </c>
    </row>
    <row r="304" spans="1:25" hidden="1" x14ac:dyDescent="0.25">
      <c r="A304" s="283" t="s">
        <v>247</v>
      </c>
      <c r="B304" s="260">
        <v>45782</v>
      </c>
      <c r="C304" s="261" t="s">
        <v>416</v>
      </c>
      <c r="D304" s="261"/>
      <c r="E304" s="262">
        <v>1000000</v>
      </c>
      <c r="F304" s="262">
        <v>0</v>
      </c>
      <c r="G304" s="285">
        <f>Tabla3[[#This Row],[INGRESOS]]-Tabla3[[#This Row],[EGRESOS]]</f>
        <v>-1000000</v>
      </c>
      <c r="H304" s="355"/>
      <c r="I304" s="135">
        <v>1142</v>
      </c>
      <c r="J304" s="136">
        <f>Tabla3[[#This Row],[EGRESOS]]/Tabla3[[#This Row],[TC]]</f>
        <v>875.65674255691772</v>
      </c>
      <c r="K304" s="136">
        <f>Tabla3[[#This Row],[INGRESOS]]/Tabla3[[#This Row],[TC]]</f>
        <v>0</v>
      </c>
      <c r="L304" s="8" t="s">
        <v>303</v>
      </c>
      <c r="M304" s="8" t="s">
        <v>304</v>
      </c>
      <c r="N304" s="8" t="s">
        <v>30</v>
      </c>
      <c r="O304" s="8" t="s">
        <v>184</v>
      </c>
      <c r="P304" s="8" t="s">
        <v>237</v>
      </c>
      <c r="Q304" s="8" t="s">
        <v>248</v>
      </c>
      <c r="R304" s="8" t="s">
        <v>434</v>
      </c>
      <c r="S304" s="8" t="s">
        <v>365</v>
      </c>
      <c r="T304" s="8"/>
      <c r="U304" s="8" t="s">
        <v>273</v>
      </c>
      <c r="V304" s="8"/>
      <c r="W304" s="8" t="s">
        <v>306</v>
      </c>
      <c r="X304" s="8" t="s">
        <v>45</v>
      </c>
      <c r="Y304" s="8" t="s">
        <v>23</v>
      </c>
    </row>
    <row r="305" spans="1:25" hidden="1" x14ac:dyDescent="0.25">
      <c r="A305" s="283" t="s">
        <v>247</v>
      </c>
      <c r="B305" s="260">
        <v>45782</v>
      </c>
      <c r="C305" s="261" t="s">
        <v>391</v>
      </c>
      <c r="D305" s="261"/>
      <c r="E305" s="262">
        <v>27000</v>
      </c>
      <c r="F305" s="262">
        <v>0</v>
      </c>
      <c r="G305" s="285">
        <f>Tabla3[[#This Row],[INGRESOS]]-Tabla3[[#This Row],[EGRESOS]]</f>
        <v>-27000</v>
      </c>
      <c r="H305" s="355"/>
      <c r="I305" s="135">
        <v>1143</v>
      </c>
      <c r="J305" s="136">
        <f>Tabla3[[#This Row],[EGRESOS]]/Tabla3[[#This Row],[TC]]</f>
        <v>23.622047244094489</v>
      </c>
      <c r="K305" s="136">
        <f>Tabla3[[#This Row],[INGRESOS]]/Tabla3[[#This Row],[TC]]</f>
        <v>0</v>
      </c>
      <c r="L305" s="8" t="s">
        <v>303</v>
      </c>
      <c r="M305" s="8" t="s">
        <v>304</v>
      </c>
      <c r="N305" s="8" t="s">
        <v>30</v>
      </c>
      <c r="O305" s="8" t="s">
        <v>184</v>
      </c>
      <c r="P305" s="8" t="s">
        <v>185</v>
      </c>
      <c r="Q305" s="8" t="s">
        <v>186</v>
      </c>
      <c r="R305" s="8"/>
      <c r="S305" s="8"/>
      <c r="T305" s="8"/>
      <c r="U305" s="8" t="s">
        <v>261</v>
      </c>
      <c r="V305" s="8"/>
      <c r="W305" s="8" t="s">
        <v>306</v>
      </c>
      <c r="X305" s="8" t="s">
        <v>98</v>
      </c>
      <c r="Y305" s="8" t="s">
        <v>23</v>
      </c>
    </row>
    <row r="306" spans="1:25" hidden="1" x14ac:dyDescent="0.25">
      <c r="A306" s="283" t="s">
        <v>247</v>
      </c>
      <c r="B306" s="260">
        <v>45782</v>
      </c>
      <c r="C306" s="261" t="s">
        <v>393</v>
      </c>
      <c r="D306" s="261"/>
      <c r="E306" s="262">
        <v>5670</v>
      </c>
      <c r="F306" s="262">
        <v>0</v>
      </c>
      <c r="G306" s="285">
        <f>Tabla3[[#This Row],[INGRESOS]]-Tabla3[[#This Row],[EGRESOS]]</f>
        <v>-5670</v>
      </c>
      <c r="H306" s="355"/>
      <c r="I306" s="135">
        <v>1144</v>
      </c>
      <c r="J306" s="136">
        <f>Tabla3[[#This Row],[EGRESOS]]/Tabla3[[#This Row],[TC]]</f>
        <v>4.9562937062937067</v>
      </c>
      <c r="K306" s="136">
        <f>Tabla3[[#This Row],[INGRESOS]]/Tabla3[[#This Row],[TC]]</f>
        <v>0</v>
      </c>
      <c r="L306" s="8" t="s">
        <v>303</v>
      </c>
      <c r="M306" s="8" t="s">
        <v>304</v>
      </c>
      <c r="N306" s="8" t="s">
        <v>30</v>
      </c>
      <c r="O306" s="8" t="s">
        <v>184</v>
      </c>
      <c r="P306" s="8" t="s">
        <v>187</v>
      </c>
      <c r="Q306" s="8" t="s">
        <v>188</v>
      </c>
      <c r="R306" s="8" t="s">
        <v>308</v>
      </c>
      <c r="S306" s="8"/>
      <c r="T306" s="8"/>
      <c r="U306" s="8" t="s">
        <v>261</v>
      </c>
      <c r="V306" s="8"/>
      <c r="W306" s="8" t="s">
        <v>306</v>
      </c>
      <c r="X306" s="8" t="s">
        <v>98</v>
      </c>
      <c r="Y306" s="8" t="s">
        <v>23</v>
      </c>
    </row>
    <row r="307" spans="1:25" hidden="1" x14ac:dyDescent="0.25">
      <c r="A307" s="283" t="s">
        <v>247</v>
      </c>
      <c r="B307" s="260">
        <v>45782</v>
      </c>
      <c r="C307" s="261" t="s">
        <v>394</v>
      </c>
      <c r="D307" s="261"/>
      <c r="E307" s="262">
        <v>810</v>
      </c>
      <c r="F307" s="262">
        <v>0</v>
      </c>
      <c r="G307" s="285">
        <f>Tabla3[[#This Row],[INGRESOS]]-Tabla3[[#This Row],[EGRESOS]]</f>
        <v>-810</v>
      </c>
      <c r="H307" s="355"/>
      <c r="I307" s="135">
        <v>1145</v>
      </c>
      <c r="J307" s="136">
        <f>Tabla3[[#This Row],[EGRESOS]]/Tabla3[[#This Row],[TC]]</f>
        <v>0.70742358078602618</v>
      </c>
      <c r="K307" s="136">
        <f>Tabla3[[#This Row],[INGRESOS]]/Tabla3[[#This Row],[TC]]</f>
        <v>0</v>
      </c>
      <c r="L307" s="8" t="s">
        <v>303</v>
      </c>
      <c r="M307" s="8" t="s">
        <v>304</v>
      </c>
      <c r="N307" s="8" t="s">
        <v>30</v>
      </c>
      <c r="O307" s="8" t="s">
        <v>184</v>
      </c>
      <c r="P307" s="8" t="s">
        <v>187</v>
      </c>
      <c r="Q307" s="8" t="s">
        <v>188</v>
      </c>
      <c r="R307" s="8" t="s">
        <v>395</v>
      </c>
      <c r="S307" s="8"/>
      <c r="T307" s="8"/>
      <c r="U307" s="8" t="s">
        <v>261</v>
      </c>
      <c r="V307" s="8"/>
      <c r="W307" s="8" t="s">
        <v>306</v>
      </c>
      <c r="X307" s="8" t="s">
        <v>98</v>
      </c>
      <c r="Y307" s="8" t="s">
        <v>23</v>
      </c>
    </row>
    <row r="308" spans="1:25" hidden="1" x14ac:dyDescent="0.25">
      <c r="A308" s="283" t="s">
        <v>247</v>
      </c>
      <c r="B308" s="260">
        <v>45782</v>
      </c>
      <c r="C308" s="261" t="s">
        <v>410</v>
      </c>
      <c r="D308" s="261"/>
      <c r="E308" s="262">
        <v>6000</v>
      </c>
      <c r="F308" s="262">
        <v>0</v>
      </c>
      <c r="G308" s="285">
        <f>Tabla3[[#This Row],[INGRESOS]]-Tabla3[[#This Row],[EGRESOS]]</f>
        <v>-6000</v>
      </c>
      <c r="H308" s="355"/>
      <c r="I308" s="135">
        <v>1146</v>
      </c>
      <c r="J308" s="136">
        <f>Tabla3[[#This Row],[EGRESOS]]/Tabla3[[#This Row],[TC]]</f>
        <v>5.2356020942408374</v>
      </c>
      <c r="K308" s="136">
        <f>Tabla3[[#This Row],[INGRESOS]]/Tabla3[[#This Row],[TC]]</f>
        <v>0</v>
      </c>
      <c r="L308" s="8" t="s">
        <v>303</v>
      </c>
      <c r="M308" s="8" t="s">
        <v>304</v>
      </c>
      <c r="N308" s="8" t="s">
        <v>30</v>
      </c>
      <c r="O308" s="8" t="s">
        <v>184</v>
      </c>
      <c r="P308" s="8" t="s">
        <v>187</v>
      </c>
      <c r="Q308" s="8" t="s">
        <v>188</v>
      </c>
      <c r="R308" s="8" t="s">
        <v>317</v>
      </c>
      <c r="S308" s="8"/>
      <c r="T308" s="8"/>
      <c r="U308" s="8" t="s">
        <v>261</v>
      </c>
      <c r="V308" s="8"/>
      <c r="W308" s="8" t="s">
        <v>306</v>
      </c>
      <c r="X308" s="8" t="s">
        <v>98</v>
      </c>
      <c r="Y308" s="8" t="s">
        <v>23</v>
      </c>
    </row>
    <row r="309" spans="1:25" hidden="1" x14ac:dyDescent="0.25">
      <c r="A309" s="283" t="s">
        <v>247</v>
      </c>
      <c r="B309" s="260">
        <v>45782</v>
      </c>
      <c r="C309" s="261" t="s">
        <v>396</v>
      </c>
      <c r="D309" s="261"/>
      <c r="E309" s="262">
        <v>6000</v>
      </c>
      <c r="F309" s="262">
        <v>0</v>
      </c>
      <c r="G309" s="285">
        <f>Tabla3[[#This Row],[INGRESOS]]-Tabla3[[#This Row],[EGRESOS]]</f>
        <v>-6000</v>
      </c>
      <c r="H309" s="355"/>
      <c r="I309" s="135">
        <v>1147</v>
      </c>
      <c r="J309" s="136">
        <f>Tabla3[[#This Row],[EGRESOS]]/Tabla3[[#This Row],[TC]]</f>
        <v>5.2310374891020048</v>
      </c>
      <c r="K309" s="136">
        <f>Tabla3[[#This Row],[INGRESOS]]/Tabla3[[#This Row],[TC]]</f>
        <v>0</v>
      </c>
      <c r="L309" s="8" t="s">
        <v>303</v>
      </c>
      <c r="M309" s="8" t="s">
        <v>304</v>
      </c>
      <c r="N309" s="8" t="s">
        <v>30</v>
      </c>
      <c r="O309" s="8" t="s">
        <v>184</v>
      </c>
      <c r="P309" s="8" t="s">
        <v>187</v>
      </c>
      <c r="Q309" s="8" t="s">
        <v>188</v>
      </c>
      <c r="R309" s="8" t="s">
        <v>317</v>
      </c>
      <c r="S309" s="8"/>
      <c r="T309" s="8"/>
      <c r="U309" s="8" t="s">
        <v>261</v>
      </c>
      <c r="V309" s="8"/>
      <c r="W309" s="8" t="s">
        <v>306</v>
      </c>
      <c r="X309" s="8" t="s">
        <v>98</v>
      </c>
      <c r="Y309" s="8" t="s">
        <v>23</v>
      </c>
    </row>
    <row r="310" spans="1:25" hidden="1" x14ac:dyDescent="0.25">
      <c r="A310" s="283" t="s">
        <v>247</v>
      </c>
      <c r="B310" s="260">
        <v>45782</v>
      </c>
      <c r="C310" s="261" t="s">
        <v>396</v>
      </c>
      <c r="D310" s="261"/>
      <c r="E310" s="262">
        <v>162</v>
      </c>
      <c r="F310" s="262">
        <v>0</v>
      </c>
      <c r="G310" s="285">
        <f>Tabla3[[#This Row],[INGRESOS]]-Tabla3[[#This Row],[EGRESOS]]</f>
        <v>-162</v>
      </c>
      <c r="H310" s="355"/>
      <c r="I310" s="135">
        <v>1148</v>
      </c>
      <c r="J310" s="136">
        <f>Tabla3[[#This Row],[EGRESOS]]/Tabla3[[#This Row],[TC]]</f>
        <v>0.14111498257839722</v>
      </c>
      <c r="K310" s="136">
        <f>Tabla3[[#This Row],[INGRESOS]]/Tabla3[[#This Row],[TC]]</f>
        <v>0</v>
      </c>
      <c r="L310" s="8" t="s">
        <v>303</v>
      </c>
      <c r="M310" s="8" t="s">
        <v>304</v>
      </c>
      <c r="N310" s="8" t="s">
        <v>30</v>
      </c>
      <c r="O310" s="8" t="s">
        <v>184</v>
      </c>
      <c r="P310" s="8" t="s">
        <v>187</v>
      </c>
      <c r="Q310" s="8" t="s">
        <v>188</v>
      </c>
      <c r="R310" s="8" t="s">
        <v>317</v>
      </c>
      <c r="S310" s="8"/>
      <c r="T310" s="8"/>
      <c r="U310" s="8" t="s">
        <v>261</v>
      </c>
      <c r="V310" s="8"/>
      <c r="W310" s="8" t="s">
        <v>306</v>
      </c>
      <c r="X310" s="8" t="s">
        <v>98</v>
      </c>
      <c r="Y310" s="8" t="s">
        <v>23</v>
      </c>
    </row>
    <row r="311" spans="1:25" hidden="1" x14ac:dyDescent="0.25">
      <c r="A311" s="283" t="s">
        <v>247</v>
      </c>
      <c r="B311" s="260">
        <v>45782</v>
      </c>
      <c r="C311" s="261" t="s">
        <v>396</v>
      </c>
      <c r="D311" s="261"/>
      <c r="E311" s="262">
        <v>34.020000000000003</v>
      </c>
      <c r="F311" s="262">
        <v>0</v>
      </c>
      <c r="G311" s="285">
        <f>Tabla3[[#This Row],[INGRESOS]]-Tabla3[[#This Row],[EGRESOS]]</f>
        <v>-34.020000000000003</v>
      </c>
      <c r="H311" s="355"/>
      <c r="I311" s="135">
        <v>1149</v>
      </c>
      <c r="J311" s="136">
        <f>Tabla3[[#This Row],[EGRESOS]]/Tabla3[[#This Row],[TC]]</f>
        <v>2.9608355091383813E-2</v>
      </c>
      <c r="K311" s="136">
        <f>Tabla3[[#This Row],[INGRESOS]]/Tabla3[[#This Row],[TC]]</f>
        <v>0</v>
      </c>
      <c r="L311" s="8" t="s">
        <v>303</v>
      </c>
      <c r="M311" s="8" t="s">
        <v>304</v>
      </c>
      <c r="N311" s="8" t="s">
        <v>30</v>
      </c>
      <c r="O311" s="8" t="s">
        <v>184</v>
      </c>
      <c r="P311" s="8" t="s">
        <v>187</v>
      </c>
      <c r="Q311" s="8" t="s">
        <v>188</v>
      </c>
      <c r="R311" s="8" t="s">
        <v>317</v>
      </c>
      <c r="S311" s="8"/>
      <c r="T311" s="8"/>
      <c r="U311" s="8" t="s">
        <v>261</v>
      </c>
      <c r="V311" s="8"/>
      <c r="W311" s="8" t="s">
        <v>306</v>
      </c>
      <c r="X311" s="8" t="s">
        <v>98</v>
      </c>
      <c r="Y311" s="8" t="s">
        <v>23</v>
      </c>
    </row>
    <row r="312" spans="1:25" hidden="1" x14ac:dyDescent="0.25">
      <c r="A312" s="283" t="s">
        <v>247</v>
      </c>
      <c r="B312" s="260">
        <v>45782</v>
      </c>
      <c r="C312" s="261" t="s">
        <v>396</v>
      </c>
      <c r="D312" s="261"/>
      <c r="E312" s="262">
        <v>4.8600000000000003</v>
      </c>
      <c r="F312" s="262">
        <v>0</v>
      </c>
      <c r="G312" s="285">
        <f>Tabla3[[#This Row],[INGRESOS]]-Tabla3[[#This Row],[EGRESOS]]</f>
        <v>-4.8600000000000003</v>
      </c>
      <c r="H312" s="355"/>
      <c r="I312" s="135">
        <v>1150</v>
      </c>
      <c r="J312" s="136">
        <f>Tabla3[[#This Row],[EGRESOS]]/Tabla3[[#This Row],[TC]]</f>
        <v>4.226086956521739E-3</v>
      </c>
      <c r="K312" s="136">
        <f>Tabla3[[#This Row],[INGRESOS]]/Tabla3[[#This Row],[TC]]</f>
        <v>0</v>
      </c>
      <c r="L312" s="8" t="s">
        <v>303</v>
      </c>
      <c r="M312" s="8" t="s">
        <v>304</v>
      </c>
      <c r="N312" s="8" t="s">
        <v>30</v>
      </c>
      <c r="O312" s="8" t="s">
        <v>184</v>
      </c>
      <c r="P312" s="8" t="s">
        <v>187</v>
      </c>
      <c r="Q312" s="8" t="s">
        <v>188</v>
      </c>
      <c r="R312" s="8" t="s">
        <v>317</v>
      </c>
      <c r="S312" s="8"/>
      <c r="T312" s="8"/>
      <c r="U312" s="8" t="s">
        <v>261</v>
      </c>
      <c r="V312" s="8"/>
      <c r="W312" s="8" t="s">
        <v>306</v>
      </c>
      <c r="X312" s="8" t="s">
        <v>98</v>
      </c>
      <c r="Y312" s="8" t="s">
        <v>23</v>
      </c>
    </row>
    <row r="313" spans="1:25" hidden="1" x14ac:dyDescent="0.25">
      <c r="A313" s="283" t="s">
        <v>247</v>
      </c>
      <c r="B313" s="260">
        <v>45783</v>
      </c>
      <c r="C313" s="261" t="s">
        <v>427</v>
      </c>
      <c r="D313" s="261"/>
      <c r="E313" s="262">
        <v>956</v>
      </c>
      <c r="F313" s="262">
        <v>0</v>
      </c>
      <c r="G313" s="285">
        <f>Tabla3[[#This Row],[INGRESOS]]-Tabla3[[#This Row],[EGRESOS]]</f>
        <v>-956</v>
      </c>
      <c r="H313" s="355"/>
      <c r="I313" s="135">
        <v>1151</v>
      </c>
      <c r="J313" s="136">
        <f>Tabla3[[#This Row],[EGRESOS]]/Tabla3[[#This Row],[TC]]</f>
        <v>0.83058210251954823</v>
      </c>
      <c r="K313" s="136">
        <f>Tabla3[[#This Row],[INGRESOS]]/Tabla3[[#This Row],[TC]]</f>
        <v>0</v>
      </c>
      <c r="L313" s="8" t="s">
        <v>303</v>
      </c>
      <c r="M313" s="8" t="s">
        <v>304</v>
      </c>
      <c r="N313" s="8" t="s">
        <v>30</v>
      </c>
      <c r="O313" s="8" t="s">
        <v>184</v>
      </c>
      <c r="P313" s="8" t="s">
        <v>185</v>
      </c>
      <c r="Q313" s="8" t="s">
        <v>186</v>
      </c>
      <c r="R313" s="8"/>
      <c r="S313" s="8"/>
      <c r="T313" s="8"/>
      <c r="U313" s="8" t="s">
        <v>261</v>
      </c>
      <c r="V313" s="8"/>
      <c r="W313" s="8" t="s">
        <v>306</v>
      </c>
      <c r="X313" s="8" t="s">
        <v>98</v>
      </c>
      <c r="Y313" s="8" t="s">
        <v>23</v>
      </c>
    </row>
    <row r="314" spans="1:25" hidden="1" x14ac:dyDescent="0.25">
      <c r="A314" s="283" t="s">
        <v>247</v>
      </c>
      <c r="B314" s="260">
        <v>45783</v>
      </c>
      <c r="C314" s="261" t="s">
        <v>393</v>
      </c>
      <c r="D314" s="261"/>
      <c r="E314" s="262">
        <v>200.76</v>
      </c>
      <c r="F314" s="262">
        <v>0</v>
      </c>
      <c r="G314" s="285">
        <f>Tabla3[[#This Row],[INGRESOS]]-Tabla3[[#This Row],[EGRESOS]]</f>
        <v>-200.76</v>
      </c>
      <c r="H314" s="355"/>
      <c r="I314" s="135">
        <v>1152</v>
      </c>
      <c r="J314" s="136">
        <f>Tabla3[[#This Row],[EGRESOS]]/Tabla3[[#This Row],[TC]]</f>
        <v>0.17427083333333332</v>
      </c>
      <c r="K314" s="136">
        <f>Tabla3[[#This Row],[INGRESOS]]/Tabla3[[#This Row],[TC]]</f>
        <v>0</v>
      </c>
      <c r="L314" s="8" t="s">
        <v>303</v>
      </c>
      <c r="M314" s="8" t="s">
        <v>304</v>
      </c>
      <c r="N314" s="8" t="s">
        <v>30</v>
      </c>
      <c r="O314" s="8" t="s">
        <v>184</v>
      </c>
      <c r="P314" s="8" t="s">
        <v>187</v>
      </c>
      <c r="Q314" s="8" t="s">
        <v>188</v>
      </c>
      <c r="R314" s="8" t="s">
        <v>308</v>
      </c>
      <c r="S314" s="8"/>
      <c r="T314" s="8"/>
      <c r="U314" s="8" t="s">
        <v>261</v>
      </c>
      <c r="V314" s="8"/>
      <c r="W314" s="8" t="s">
        <v>306</v>
      </c>
      <c r="X314" s="8" t="s">
        <v>98</v>
      </c>
      <c r="Y314" s="8" t="s">
        <v>23</v>
      </c>
    </row>
    <row r="315" spans="1:25" hidden="1" x14ac:dyDescent="0.25">
      <c r="A315" s="283" t="s">
        <v>247</v>
      </c>
      <c r="B315" s="260">
        <v>45783</v>
      </c>
      <c r="C315" s="261" t="s">
        <v>396</v>
      </c>
      <c r="D315" s="261"/>
      <c r="E315" s="262">
        <v>5.74</v>
      </c>
      <c r="F315" s="262">
        <v>0</v>
      </c>
      <c r="G315" s="285">
        <f>Tabla3[[#This Row],[INGRESOS]]-Tabla3[[#This Row],[EGRESOS]]</f>
        <v>-5.74</v>
      </c>
      <c r="H315" s="355"/>
      <c r="I315" s="135">
        <v>1153</v>
      </c>
      <c r="J315" s="136">
        <f>Tabla3[[#This Row],[EGRESOS]]/Tabla3[[#This Row],[TC]]</f>
        <v>4.9783174327840416E-3</v>
      </c>
      <c r="K315" s="136">
        <f>Tabla3[[#This Row],[INGRESOS]]/Tabla3[[#This Row],[TC]]</f>
        <v>0</v>
      </c>
      <c r="L315" s="8" t="s">
        <v>303</v>
      </c>
      <c r="M315" s="8" t="s">
        <v>304</v>
      </c>
      <c r="N315" s="8" t="s">
        <v>30</v>
      </c>
      <c r="O315" s="8" t="s">
        <v>184</v>
      </c>
      <c r="P315" s="8" t="s">
        <v>187</v>
      </c>
      <c r="Q315" s="8" t="s">
        <v>188</v>
      </c>
      <c r="R315" s="8" t="s">
        <v>317</v>
      </c>
      <c r="S315" s="8"/>
      <c r="T315" s="8"/>
      <c r="U315" s="8" t="s">
        <v>261</v>
      </c>
      <c r="V315" s="8"/>
      <c r="W315" s="8" t="s">
        <v>306</v>
      </c>
      <c r="X315" s="8" t="s">
        <v>98</v>
      </c>
      <c r="Y315" s="8" t="s">
        <v>23</v>
      </c>
    </row>
    <row r="316" spans="1:25" hidden="1" x14ac:dyDescent="0.25">
      <c r="A316" s="283" t="s">
        <v>247</v>
      </c>
      <c r="B316" s="260">
        <v>45783</v>
      </c>
      <c r="C316" s="261" t="s">
        <v>396</v>
      </c>
      <c r="D316" s="261"/>
      <c r="E316" s="262">
        <v>1.2</v>
      </c>
      <c r="F316" s="262">
        <v>0</v>
      </c>
      <c r="G316" s="285">
        <f>Tabla3[[#This Row],[INGRESOS]]-Tabla3[[#This Row],[EGRESOS]]</f>
        <v>-1.2</v>
      </c>
      <c r="H316" s="355"/>
      <c r="I316" s="135">
        <v>1154</v>
      </c>
      <c r="J316" s="136">
        <f>Tabla3[[#This Row],[EGRESOS]]/Tabla3[[#This Row],[TC]]</f>
        <v>1.0398613518197574E-3</v>
      </c>
      <c r="K316" s="136">
        <f>Tabla3[[#This Row],[INGRESOS]]/Tabla3[[#This Row],[TC]]</f>
        <v>0</v>
      </c>
      <c r="L316" s="8" t="s">
        <v>303</v>
      </c>
      <c r="M316" s="8" t="s">
        <v>304</v>
      </c>
      <c r="N316" s="8" t="s">
        <v>30</v>
      </c>
      <c r="O316" s="8" t="s">
        <v>184</v>
      </c>
      <c r="P316" s="8" t="s">
        <v>187</v>
      </c>
      <c r="Q316" s="8" t="s">
        <v>188</v>
      </c>
      <c r="R316" s="8" t="s">
        <v>317</v>
      </c>
      <c r="S316" s="8"/>
      <c r="T316" s="8"/>
      <c r="U316" s="8" t="s">
        <v>261</v>
      </c>
      <c r="V316" s="8"/>
      <c r="W316" s="8" t="s">
        <v>306</v>
      </c>
      <c r="X316" s="8" t="s">
        <v>98</v>
      </c>
      <c r="Y316" s="8" t="s">
        <v>23</v>
      </c>
    </row>
    <row r="317" spans="1:25" hidden="1" x14ac:dyDescent="0.25">
      <c r="A317" s="283" t="s">
        <v>247</v>
      </c>
      <c r="B317" s="260">
        <v>45784</v>
      </c>
      <c r="C317" s="261" t="s">
        <v>423</v>
      </c>
      <c r="D317" s="261"/>
      <c r="E317" s="262">
        <v>0</v>
      </c>
      <c r="F317" s="262">
        <v>50000</v>
      </c>
      <c r="G317" s="285">
        <f>Tabla3[[#This Row],[INGRESOS]]-Tabla3[[#This Row],[EGRESOS]]</f>
        <v>50000</v>
      </c>
      <c r="H317" s="285">
        <v>-2991775.5</v>
      </c>
      <c r="I317" s="135">
        <v>1155</v>
      </c>
      <c r="J317" s="136">
        <f>Tabla3[[#This Row],[EGRESOS]]/Tabla3[[#This Row],[TC]]</f>
        <v>0</v>
      </c>
      <c r="K317" s="136">
        <f>Tabla3[[#This Row],[INGRESOS]]/Tabla3[[#This Row],[TC]]</f>
        <v>43.290043290043293</v>
      </c>
      <c r="L317" s="8" t="s">
        <v>303</v>
      </c>
      <c r="M317" s="8" t="s">
        <v>304</v>
      </c>
      <c r="N317" s="8" t="s">
        <v>30</v>
      </c>
      <c r="O317" s="8" t="s">
        <v>214</v>
      </c>
      <c r="P317" s="8" t="s">
        <v>216</v>
      </c>
      <c r="Q317" s="8" t="s">
        <v>217</v>
      </c>
      <c r="R317" s="8" t="s">
        <v>388</v>
      </c>
      <c r="S317" s="8"/>
      <c r="T317" s="8"/>
      <c r="U317" s="8" t="s">
        <v>262</v>
      </c>
      <c r="V317" s="8"/>
      <c r="W317" s="8"/>
      <c r="X317" s="8"/>
      <c r="Y317" s="8"/>
    </row>
    <row r="318" spans="1:25" hidden="1" x14ac:dyDescent="0.25">
      <c r="A318" s="283" t="s">
        <v>247</v>
      </c>
      <c r="B318" s="260">
        <v>45797</v>
      </c>
      <c r="C318" s="261" t="s">
        <v>423</v>
      </c>
      <c r="D318" s="261"/>
      <c r="E318" s="262">
        <v>0</v>
      </c>
      <c r="F318" s="262">
        <v>10500000</v>
      </c>
      <c r="G318" s="285">
        <f>Tabla3[[#This Row],[INGRESOS]]-Tabla3[[#This Row],[EGRESOS]]</f>
        <v>10500000</v>
      </c>
      <c r="H318" s="355"/>
      <c r="I318" s="135">
        <v>1156</v>
      </c>
      <c r="J318" s="136">
        <f>Tabla3[[#This Row],[EGRESOS]]/Tabla3[[#This Row],[TC]]</f>
        <v>0</v>
      </c>
      <c r="K318" s="136">
        <f>Tabla3[[#This Row],[INGRESOS]]/Tabla3[[#This Row],[TC]]</f>
        <v>9083.0449826989625</v>
      </c>
      <c r="L318" s="8" t="s">
        <v>303</v>
      </c>
      <c r="M318" s="8" t="s">
        <v>304</v>
      </c>
      <c r="N318" s="8" t="s">
        <v>30</v>
      </c>
      <c r="O318" s="8" t="s">
        <v>214</v>
      </c>
      <c r="P318" s="8" t="s">
        <v>216</v>
      </c>
      <c r="Q318" s="8" t="s">
        <v>217</v>
      </c>
      <c r="R318" s="8" t="s">
        <v>388</v>
      </c>
      <c r="S318" s="8"/>
      <c r="T318" s="8"/>
      <c r="U318" s="8" t="s">
        <v>262</v>
      </c>
      <c r="V318" s="8"/>
      <c r="W318" s="8"/>
      <c r="X318" s="8"/>
      <c r="Y318" s="8"/>
    </row>
    <row r="319" spans="1:25" hidden="1" x14ac:dyDescent="0.25">
      <c r="A319" s="283" t="s">
        <v>247</v>
      </c>
      <c r="B319" s="260">
        <v>45797</v>
      </c>
      <c r="C319" s="261" t="s">
        <v>435</v>
      </c>
      <c r="D319" s="261"/>
      <c r="E319" s="262">
        <v>10000000</v>
      </c>
      <c r="F319" s="262">
        <v>0</v>
      </c>
      <c r="G319" s="285">
        <f>Tabla3[[#This Row],[INGRESOS]]-Tabla3[[#This Row],[EGRESOS]]</f>
        <v>-10000000</v>
      </c>
      <c r="H319" s="285">
        <v>-2551775.5</v>
      </c>
      <c r="I319" s="135">
        <v>1157</v>
      </c>
      <c r="J319" s="136">
        <f>Tabla3[[#This Row],[EGRESOS]]/Tabla3[[#This Row],[TC]]</f>
        <v>8643.042350907519</v>
      </c>
      <c r="K319" s="136">
        <f>Tabla3[[#This Row],[INGRESOS]]/Tabla3[[#This Row],[TC]]</f>
        <v>0</v>
      </c>
      <c r="L319" s="8" t="s">
        <v>303</v>
      </c>
      <c r="M319" s="8" t="s">
        <v>304</v>
      </c>
      <c r="N319" s="8" t="s">
        <v>30</v>
      </c>
      <c r="O319" s="8" t="s">
        <v>197</v>
      </c>
      <c r="P319" s="8" t="s">
        <v>198</v>
      </c>
      <c r="Q319" s="8" t="s">
        <v>200</v>
      </c>
      <c r="R319" s="8" t="s">
        <v>249</v>
      </c>
      <c r="S319" s="8" t="s">
        <v>910</v>
      </c>
      <c r="T319" s="8"/>
      <c r="U319" s="8" t="s">
        <v>260</v>
      </c>
      <c r="V319" s="8"/>
      <c r="W319" s="8" t="s">
        <v>306</v>
      </c>
      <c r="X319" s="8" t="s">
        <v>29</v>
      </c>
      <c r="Y319" s="8" t="s">
        <v>23</v>
      </c>
    </row>
    <row r="320" spans="1:25" hidden="1" x14ac:dyDescent="0.25">
      <c r="A320" s="283" t="s">
        <v>247</v>
      </c>
      <c r="B320" s="260">
        <v>45797</v>
      </c>
      <c r="C320" s="261" t="s">
        <v>396</v>
      </c>
      <c r="D320" s="261"/>
      <c r="E320" s="262">
        <v>60000</v>
      </c>
      <c r="F320" s="262">
        <v>0</v>
      </c>
      <c r="G320" s="285">
        <f>Tabla3[[#This Row],[INGRESOS]]-Tabla3[[#This Row],[EGRESOS]]</f>
        <v>-60000</v>
      </c>
      <c r="H320" s="285">
        <v>-2691247.12</v>
      </c>
      <c r="I320" s="135">
        <v>1158</v>
      </c>
      <c r="J320" s="136">
        <f>Tabla3[[#This Row],[EGRESOS]]/Tabla3[[#This Row],[TC]]</f>
        <v>51.813471502590673</v>
      </c>
      <c r="K320" s="136">
        <f>Tabla3[[#This Row],[INGRESOS]]/Tabla3[[#This Row],[TC]]</f>
        <v>0</v>
      </c>
      <c r="L320" s="8" t="s">
        <v>303</v>
      </c>
      <c r="M320" s="8" t="s">
        <v>304</v>
      </c>
      <c r="N320" s="8" t="s">
        <v>30</v>
      </c>
      <c r="O320" s="8" t="s">
        <v>184</v>
      </c>
      <c r="P320" s="8" t="s">
        <v>187</v>
      </c>
      <c r="Q320" s="8" t="s">
        <v>188</v>
      </c>
      <c r="R320" s="8" t="s">
        <v>317</v>
      </c>
      <c r="S320" s="8"/>
      <c r="T320" s="8"/>
      <c r="U320" s="8" t="s">
        <v>261</v>
      </c>
      <c r="V320" s="8"/>
      <c r="W320" s="8" t="s">
        <v>306</v>
      </c>
      <c r="X320" s="8" t="s">
        <v>98</v>
      </c>
      <c r="Y320" s="8" t="s">
        <v>23</v>
      </c>
    </row>
    <row r="321" spans="1:25" hidden="1" x14ac:dyDescent="0.25">
      <c r="A321" s="283" t="s">
        <v>725</v>
      </c>
      <c r="B321" s="260">
        <v>45810</v>
      </c>
      <c r="C321" s="261" t="s">
        <v>391</v>
      </c>
      <c r="D321" s="261"/>
      <c r="E321" s="262">
        <v>27000</v>
      </c>
      <c r="F321" s="262">
        <v>0</v>
      </c>
      <c r="G321" s="285">
        <f>Tabla3[[#This Row],[INGRESOS]]-Tabla3[[#This Row],[EGRESOS]]</f>
        <v>-27000</v>
      </c>
      <c r="H321" s="285"/>
      <c r="I321" s="135">
        <v>1159</v>
      </c>
      <c r="J321" s="136">
        <f>Tabla3[[#This Row],[EGRESOS]]/Tabla3[[#This Row],[TC]]</f>
        <v>23.295944779982744</v>
      </c>
      <c r="K321" s="136">
        <f>Tabla3[[#This Row],[INGRESOS]]/Tabla3[[#This Row],[TC]]</f>
        <v>0</v>
      </c>
      <c r="L321" s="8" t="s">
        <v>303</v>
      </c>
      <c r="M321" s="8" t="s">
        <v>304</v>
      </c>
      <c r="N321" s="8" t="s">
        <v>30</v>
      </c>
      <c r="O321" s="8" t="s">
        <v>184</v>
      </c>
      <c r="P321" s="8" t="s">
        <v>185</v>
      </c>
      <c r="Q321" s="8" t="s">
        <v>186</v>
      </c>
      <c r="R321" s="8"/>
      <c r="S321" s="8"/>
      <c r="T321" s="8"/>
      <c r="U321" s="8" t="s">
        <v>261</v>
      </c>
      <c r="V321" s="8"/>
      <c r="W321" s="8" t="s">
        <v>306</v>
      </c>
      <c r="X321" s="8" t="s">
        <v>98</v>
      </c>
      <c r="Y321" s="8" t="s">
        <v>23</v>
      </c>
    </row>
    <row r="322" spans="1:25" hidden="1" x14ac:dyDescent="0.25">
      <c r="A322" s="283" t="s">
        <v>725</v>
      </c>
      <c r="B322" s="260">
        <v>45810</v>
      </c>
      <c r="C322" s="261" t="s">
        <v>393</v>
      </c>
      <c r="D322" s="261"/>
      <c r="E322" s="262">
        <v>5670</v>
      </c>
      <c r="F322" s="262">
        <v>0</v>
      </c>
      <c r="G322" s="285">
        <f>Tabla3[[#This Row],[INGRESOS]]-Tabla3[[#This Row],[EGRESOS]]</f>
        <v>-5670</v>
      </c>
      <c r="H322" s="285"/>
      <c r="I322" s="135">
        <v>1160</v>
      </c>
      <c r="J322" s="136">
        <f>Tabla3[[#This Row],[EGRESOS]]/Tabla3[[#This Row],[TC]]</f>
        <v>4.8879310344827589</v>
      </c>
      <c r="K322" s="136">
        <f>Tabla3[[#This Row],[INGRESOS]]/Tabla3[[#This Row],[TC]]</f>
        <v>0</v>
      </c>
      <c r="L322" s="8" t="s">
        <v>303</v>
      </c>
      <c r="M322" s="8" t="s">
        <v>304</v>
      </c>
      <c r="N322" s="8" t="s">
        <v>30</v>
      </c>
      <c r="O322" s="8" t="s">
        <v>184</v>
      </c>
      <c r="P322" s="8" t="s">
        <v>187</v>
      </c>
      <c r="Q322" s="8" t="s">
        <v>188</v>
      </c>
      <c r="R322" s="8" t="s">
        <v>308</v>
      </c>
      <c r="S322" s="8"/>
      <c r="T322" s="8"/>
      <c r="U322" s="8" t="s">
        <v>261</v>
      </c>
      <c r="V322" s="8"/>
      <c r="W322" s="8" t="s">
        <v>306</v>
      </c>
      <c r="X322" s="8" t="s">
        <v>98</v>
      </c>
      <c r="Y322" s="8" t="s">
        <v>23</v>
      </c>
    </row>
    <row r="323" spans="1:25" hidden="1" x14ac:dyDescent="0.25">
      <c r="A323" s="283" t="s">
        <v>725</v>
      </c>
      <c r="B323" s="260">
        <v>45810</v>
      </c>
      <c r="C323" s="261" t="s">
        <v>394</v>
      </c>
      <c r="D323" s="261"/>
      <c r="E323" s="262">
        <v>810</v>
      </c>
      <c r="F323" s="262">
        <v>0</v>
      </c>
      <c r="G323" s="285">
        <f>Tabla3[[#This Row],[INGRESOS]]-Tabla3[[#This Row],[EGRESOS]]</f>
        <v>-810</v>
      </c>
      <c r="H323" s="285"/>
      <c r="I323" s="135">
        <v>1161</v>
      </c>
      <c r="J323" s="136">
        <f>Tabla3[[#This Row],[EGRESOS]]/Tabla3[[#This Row],[TC]]</f>
        <v>0.69767441860465118</v>
      </c>
      <c r="K323" s="136">
        <f>Tabla3[[#This Row],[INGRESOS]]/Tabla3[[#This Row],[TC]]</f>
        <v>0</v>
      </c>
      <c r="L323" s="8" t="s">
        <v>303</v>
      </c>
      <c r="M323" s="8" t="s">
        <v>304</v>
      </c>
      <c r="N323" s="8" t="s">
        <v>30</v>
      </c>
      <c r="O323" s="8" t="s">
        <v>184</v>
      </c>
      <c r="P323" s="8" t="s">
        <v>187</v>
      </c>
      <c r="Q323" s="8" t="s">
        <v>188</v>
      </c>
      <c r="R323" s="8" t="s">
        <v>317</v>
      </c>
      <c r="S323" s="8"/>
      <c r="T323" s="8"/>
      <c r="U323" s="8" t="s">
        <v>261</v>
      </c>
      <c r="V323" s="8"/>
      <c r="W323" s="8" t="s">
        <v>306</v>
      </c>
      <c r="X323" s="8" t="s">
        <v>98</v>
      </c>
      <c r="Y323" s="8" t="s">
        <v>23</v>
      </c>
    </row>
    <row r="324" spans="1:25" hidden="1" x14ac:dyDescent="0.25">
      <c r="A324" s="283" t="s">
        <v>725</v>
      </c>
      <c r="B324" s="260">
        <v>45810</v>
      </c>
      <c r="C324" s="261" t="s">
        <v>396</v>
      </c>
      <c r="D324" s="261"/>
      <c r="E324" s="262">
        <v>162</v>
      </c>
      <c r="F324" s="262">
        <v>0</v>
      </c>
      <c r="G324" s="285">
        <f>Tabla3[[#This Row],[INGRESOS]]-Tabla3[[#This Row],[EGRESOS]]</f>
        <v>-162</v>
      </c>
      <c r="H324" s="285"/>
      <c r="I324" s="135">
        <v>1162</v>
      </c>
      <c r="J324" s="136">
        <f>Tabla3[[#This Row],[EGRESOS]]/Tabla3[[#This Row],[TC]]</f>
        <v>0.13941480206540446</v>
      </c>
      <c r="K324" s="136">
        <f>Tabla3[[#This Row],[INGRESOS]]/Tabla3[[#This Row],[TC]]</f>
        <v>0</v>
      </c>
      <c r="L324" s="8" t="s">
        <v>303</v>
      </c>
      <c r="M324" s="8" t="s">
        <v>304</v>
      </c>
      <c r="N324" s="8" t="s">
        <v>30</v>
      </c>
      <c r="O324" s="8" t="s">
        <v>184</v>
      </c>
      <c r="P324" s="8" t="s">
        <v>187</v>
      </c>
      <c r="Q324" s="8" t="s">
        <v>188</v>
      </c>
      <c r="R324" s="8" t="s">
        <v>317</v>
      </c>
      <c r="S324" s="8"/>
      <c r="T324" s="8"/>
      <c r="U324" s="8" t="s">
        <v>261</v>
      </c>
      <c r="V324" s="8"/>
      <c r="W324" s="8" t="s">
        <v>306</v>
      </c>
      <c r="X324" s="8" t="s">
        <v>98</v>
      </c>
      <c r="Y324" s="8" t="s">
        <v>23</v>
      </c>
    </row>
    <row r="325" spans="1:25" hidden="1" x14ac:dyDescent="0.25">
      <c r="A325" s="283" t="s">
        <v>725</v>
      </c>
      <c r="B325" s="260">
        <v>45810</v>
      </c>
      <c r="C325" s="261" t="s">
        <v>396</v>
      </c>
      <c r="D325" s="261"/>
      <c r="E325" s="262">
        <v>34.020000000000003</v>
      </c>
      <c r="F325" s="262">
        <v>0</v>
      </c>
      <c r="G325" s="285">
        <f>Tabla3[[#This Row],[INGRESOS]]-Tabla3[[#This Row],[EGRESOS]]</f>
        <v>-34.020000000000003</v>
      </c>
      <c r="H325" s="285"/>
      <c r="I325" s="135">
        <v>1163</v>
      </c>
      <c r="J325" s="136">
        <f>Tabla3[[#This Row],[EGRESOS]]/Tabla3[[#This Row],[TC]]</f>
        <v>2.9251934651762686E-2</v>
      </c>
      <c r="K325" s="136">
        <f>Tabla3[[#This Row],[INGRESOS]]/Tabla3[[#This Row],[TC]]</f>
        <v>0</v>
      </c>
      <c r="L325" s="8" t="s">
        <v>303</v>
      </c>
      <c r="M325" s="8" t="s">
        <v>304</v>
      </c>
      <c r="N325" s="8" t="s">
        <v>30</v>
      </c>
      <c r="O325" s="8" t="s">
        <v>184</v>
      </c>
      <c r="P325" s="8" t="s">
        <v>187</v>
      </c>
      <c r="Q325" s="8" t="s">
        <v>188</v>
      </c>
      <c r="R325" s="8" t="s">
        <v>317</v>
      </c>
      <c r="S325" s="8"/>
      <c r="T325" s="8"/>
      <c r="U325" s="8" t="s">
        <v>261</v>
      </c>
      <c r="V325" s="8"/>
      <c r="W325" s="8" t="s">
        <v>306</v>
      </c>
      <c r="X325" s="8" t="s">
        <v>98</v>
      </c>
      <c r="Y325" s="8" t="s">
        <v>23</v>
      </c>
    </row>
    <row r="326" spans="1:25" hidden="1" x14ac:dyDescent="0.25">
      <c r="A326" s="283" t="s">
        <v>725</v>
      </c>
      <c r="B326" s="260">
        <v>45810</v>
      </c>
      <c r="C326" s="261" t="s">
        <v>396</v>
      </c>
      <c r="D326" s="261"/>
      <c r="E326" s="262">
        <v>4.8600000000000003</v>
      </c>
      <c r="F326" s="262">
        <v>0</v>
      </c>
      <c r="G326" s="285">
        <f>Tabla3[[#This Row],[INGRESOS]]-Tabla3[[#This Row],[EGRESOS]]</f>
        <v>-4.8600000000000003</v>
      </c>
      <c r="H326" s="355"/>
      <c r="I326" s="135">
        <v>1164</v>
      </c>
      <c r="J326" s="136">
        <f>Tabla3[[#This Row],[EGRESOS]]/Tabla3[[#This Row],[TC]]</f>
        <v>4.1752577319587635E-3</v>
      </c>
      <c r="K326" s="136">
        <f>Tabla3[[#This Row],[INGRESOS]]/Tabla3[[#This Row],[TC]]</f>
        <v>0</v>
      </c>
      <c r="L326" s="8" t="s">
        <v>303</v>
      </c>
      <c r="M326" s="8" t="s">
        <v>304</v>
      </c>
      <c r="N326" s="8" t="s">
        <v>30</v>
      </c>
      <c r="O326" s="8" t="s">
        <v>184</v>
      </c>
      <c r="P326" s="8" t="s">
        <v>187</v>
      </c>
      <c r="Q326" s="8" t="s">
        <v>188</v>
      </c>
      <c r="R326" s="8" t="s">
        <v>317</v>
      </c>
      <c r="S326" s="8"/>
      <c r="T326" s="8"/>
      <c r="U326" s="8" t="s">
        <v>261</v>
      </c>
      <c r="V326" s="8"/>
      <c r="W326" s="8" t="s">
        <v>306</v>
      </c>
      <c r="X326" s="8" t="s">
        <v>98</v>
      </c>
      <c r="Y326" s="8" t="s">
        <v>23</v>
      </c>
    </row>
    <row r="327" spans="1:25" hidden="1" x14ac:dyDescent="0.25">
      <c r="A327" s="283" t="s">
        <v>725</v>
      </c>
      <c r="B327" s="260">
        <v>45820</v>
      </c>
      <c r="C327" s="261" t="s">
        <v>423</v>
      </c>
      <c r="D327" s="261"/>
      <c r="E327" s="262">
        <v>0</v>
      </c>
      <c r="F327" s="262">
        <v>3000000</v>
      </c>
      <c r="G327" s="285">
        <f>Tabla3[[#This Row],[INGRESOS]]-Tabla3[[#This Row],[EGRESOS]]</f>
        <v>3000000</v>
      </c>
      <c r="H327" s="285">
        <v>270769.62</v>
      </c>
      <c r="I327" s="135">
        <v>1165</v>
      </c>
      <c r="J327" s="136">
        <f>Tabla3[[#This Row],[EGRESOS]]/Tabla3[[#This Row],[TC]]</f>
        <v>0</v>
      </c>
      <c r="K327" s="136">
        <f>Tabla3[[#This Row],[INGRESOS]]/Tabla3[[#This Row],[TC]]</f>
        <v>2575.1072961373388</v>
      </c>
      <c r="L327" s="8" t="s">
        <v>303</v>
      </c>
      <c r="M327" s="8" t="s">
        <v>304</v>
      </c>
      <c r="N327" s="8" t="s">
        <v>30</v>
      </c>
      <c r="O327" s="8" t="s">
        <v>214</v>
      </c>
      <c r="P327" s="8" t="s">
        <v>216</v>
      </c>
      <c r="Q327" s="8" t="s">
        <v>217</v>
      </c>
      <c r="R327" s="8" t="s">
        <v>388</v>
      </c>
      <c r="S327" s="8"/>
      <c r="T327" s="8"/>
      <c r="U327" s="8" t="s">
        <v>262</v>
      </c>
      <c r="V327" s="8"/>
      <c r="W327" s="8"/>
      <c r="X327" s="8"/>
      <c r="Y327" s="8"/>
    </row>
    <row r="328" spans="1:25" hidden="1" x14ac:dyDescent="0.25">
      <c r="A328" s="283" t="s">
        <v>725</v>
      </c>
      <c r="B328" s="260">
        <v>45832</v>
      </c>
      <c r="C328" s="261" t="s">
        <v>416</v>
      </c>
      <c r="D328" s="261"/>
      <c r="E328" s="262">
        <v>950000</v>
      </c>
      <c r="F328" s="262">
        <v>0</v>
      </c>
      <c r="G328" s="285">
        <f>Tabla3[[#This Row],[INGRESOS]]-Tabla3[[#This Row],[EGRESOS]]</f>
        <v>-950000</v>
      </c>
      <c r="H328" s="285">
        <v>-679230.38</v>
      </c>
      <c r="I328" s="135">
        <v>1166</v>
      </c>
      <c r="J328" s="136">
        <f>Tabla3[[#This Row],[EGRESOS]]/Tabla3[[#This Row],[TC]]</f>
        <v>814.75128644939969</v>
      </c>
      <c r="K328" s="136">
        <f>Tabla3[[#This Row],[INGRESOS]]/Tabla3[[#This Row],[TC]]</f>
        <v>0</v>
      </c>
      <c r="L328" s="8" t="s">
        <v>303</v>
      </c>
      <c r="M328" s="8" t="s">
        <v>304</v>
      </c>
      <c r="N328" s="8" t="s">
        <v>30</v>
      </c>
      <c r="O328" s="8" t="s">
        <v>214</v>
      </c>
      <c r="P328" s="8" t="s">
        <v>216</v>
      </c>
      <c r="Q328" s="8" t="s">
        <v>217</v>
      </c>
      <c r="R328" s="8" t="s">
        <v>686</v>
      </c>
      <c r="S328" s="8"/>
      <c r="T328" s="8"/>
      <c r="U328" s="8" t="s">
        <v>262</v>
      </c>
      <c r="V328" s="8"/>
      <c r="W328" s="8"/>
      <c r="X328" s="8"/>
      <c r="Y328" s="8"/>
    </row>
    <row r="329" spans="1:25" hidden="1" x14ac:dyDescent="0.25">
      <c r="A329" s="283" t="s">
        <v>725</v>
      </c>
      <c r="B329" s="260">
        <v>45833</v>
      </c>
      <c r="C329" s="261" t="s">
        <v>427</v>
      </c>
      <c r="D329" s="261"/>
      <c r="E329" s="262">
        <v>956</v>
      </c>
      <c r="F329" s="262">
        <v>0</v>
      </c>
      <c r="G329" s="285">
        <f>Tabla3[[#This Row],[INGRESOS]]-Tabla3[[#This Row],[EGRESOS]]</f>
        <v>-956</v>
      </c>
      <c r="H329" s="355"/>
      <c r="I329" s="135">
        <v>1167</v>
      </c>
      <c r="J329" s="136">
        <f>Tabla3[[#This Row],[EGRESOS]]/Tabla3[[#This Row],[TC]]</f>
        <v>0.81919451585261349</v>
      </c>
      <c r="K329" s="136">
        <f>Tabla3[[#This Row],[INGRESOS]]/Tabla3[[#This Row],[TC]]</f>
        <v>0</v>
      </c>
      <c r="L329" s="8" t="s">
        <v>303</v>
      </c>
      <c r="M329" s="8" t="s">
        <v>304</v>
      </c>
      <c r="N329" s="8" t="s">
        <v>30</v>
      </c>
      <c r="O329" s="8" t="s">
        <v>184</v>
      </c>
      <c r="P329" s="8" t="s">
        <v>185</v>
      </c>
      <c r="Q329" s="8" t="s">
        <v>186</v>
      </c>
      <c r="R329" s="8"/>
      <c r="S329" s="8"/>
      <c r="T329" s="8"/>
      <c r="U329" s="8" t="s">
        <v>261</v>
      </c>
      <c r="V329" s="8"/>
      <c r="W329" s="8" t="s">
        <v>306</v>
      </c>
      <c r="X329" s="8" t="s">
        <v>98</v>
      </c>
      <c r="Y329" s="8" t="s">
        <v>23</v>
      </c>
    </row>
    <row r="330" spans="1:25" hidden="1" x14ac:dyDescent="0.25">
      <c r="A330" s="283" t="s">
        <v>725</v>
      </c>
      <c r="B330" s="260">
        <v>45833</v>
      </c>
      <c r="C330" s="261" t="s">
        <v>393</v>
      </c>
      <c r="D330" s="261"/>
      <c r="E330" s="262">
        <v>200.76</v>
      </c>
      <c r="F330" s="262">
        <v>0</v>
      </c>
      <c r="G330" s="285">
        <f>Tabla3[[#This Row],[INGRESOS]]-Tabla3[[#This Row],[EGRESOS]]</f>
        <v>-200.76</v>
      </c>
      <c r="H330" s="285"/>
      <c r="I330" s="135">
        <v>1168</v>
      </c>
      <c r="J330" s="136">
        <f>Tabla3[[#This Row],[EGRESOS]]/Tabla3[[#This Row],[TC]]</f>
        <v>0.17188356164383561</v>
      </c>
      <c r="K330" s="136">
        <f>Tabla3[[#This Row],[INGRESOS]]/Tabla3[[#This Row],[TC]]</f>
        <v>0</v>
      </c>
      <c r="L330" s="8" t="s">
        <v>303</v>
      </c>
      <c r="M330" s="8" t="s">
        <v>304</v>
      </c>
      <c r="N330" s="8" t="s">
        <v>30</v>
      </c>
      <c r="O330" s="8" t="s">
        <v>184</v>
      </c>
      <c r="P330" s="8" t="s">
        <v>187</v>
      </c>
      <c r="Q330" s="8" t="s">
        <v>188</v>
      </c>
      <c r="R330" s="8" t="s">
        <v>308</v>
      </c>
      <c r="S330" s="8"/>
      <c r="T330" s="8"/>
      <c r="U330" s="8" t="s">
        <v>261</v>
      </c>
      <c r="V330" s="8"/>
      <c r="W330" s="8" t="s">
        <v>306</v>
      </c>
      <c r="X330" s="8" t="s">
        <v>98</v>
      </c>
      <c r="Y330" s="8" t="s">
        <v>23</v>
      </c>
    </row>
    <row r="331" spans="1:25" hidden="1" x14ac:dyDescent="0.25">
      <c r="A331" s="283" t="s">
        <v>725</v>
      </c>
      <c r="B331" s="260">
        <v>45833</v>
      </c>
      <c r="C331" s="261" t="s">
        <v>396</v>
      </c>
      <c r="D331" s="261"/>
      <c r="E331" s="262">
        <v>5.74</v>
      </c>
      <c r="F331" s="262">
        <v>0</v>
      </c>
      <c r="G331" s="285">
        <f>Tabla3[[#This Row],[INGRESOS]]-Tabla3[[#This Row],[EGRESOS]]</f>
        <v>-5.74</v>
      </c>
      <c r="H331" s="285"/>
      <c r="I331" s="135">
        <v>1169</v>
      </c>
      <c r="J331" s="136">
        <f>Tabla3[[#This Row],[EGRESOS]]/Tabla3[[#This Row],[TC]]</f>
        <v>4.910179640718563E-3</v>
      </c>
      <c r="K331" s="136">
        <f>Tabla3[[#This Row],[INGRESOS]]/Tabla3[[#This Row],[TC]]</f>
        <v>0</v>
      </c>
      <c r="L331" s="8" t="s">
        <v>303</v>
      </c>
      <c r="M331" s="8" t="s">
        <v>304</v>
      </c>
      <c r="N331" s="8" t="s">
        <v>30</v>
      </c>
      <c r="O331" s="8" t="s">
        <v>184</v>
      </c>
      <c r="P331" s="8" t="s">
        <v>187</v>
      </c>
      <c r="Q331" s="8" t="s">
        <v>188</v>
      </c>
      <c r="R331" s="8" t="s">
        <v>317</v>
      </c>
      <c r="S331" s="8"/>
      <c r="T331" s="8"/>
      <c r="U331" s="8" t="s">
        <v>261</v>
      </c>
      <c r="V331" s="8"/>
      <c r="W331" s="8" t="s">
        <v>306</v>
      </c>
      <c r="X331" s="8" t="s">
        <v>98</v>
      </c>
      <c r="Y331" s="8" t="s">
        <v>23</v>
      </c>
    </row>
    <row r="332" spans="1:25" hidden="1" x14ac:dyDescent="0.25">
      <c r="A332" s="283" t="s">
        <v>725</v>
      </c>
      <c r="B332" s="260">
        <v>45833</v>
      </c>
      <c r="C332" s="261" t="s">
        <v>396</v>
      </c>
      <c r="D332" s="261"/>
      <c r="E332" s="262">
        <v>1.2</v>
      </c>
      <c r="F332" s="262">
        <v>0</v>
      </c>
      <c r="G332" s="285">
        <f>Tabla3[[#This Row],[INGRESOS]]-Tabla3[[#This Row],[EGRESOS]]</f>
        <v>-1.2</v>
      </c>
      <c r="H332" s="285">
        <v>-756087.91</v>
      </c>
      <c r="I332" s="135">
        <v>1170</v>
      </c>
      <c r="J332" s="136">
        <f>Tabla3[[#This Row],[EGRESOS]]/Tabla3[[#This Row],[TC]]</f>
        <v>1.0256410256410256E-3</v>
      </c>
      <c r="K332" s="136">
        <f>Tabla3[[#This Row],[INGRESOS]]/Tabla3[[#This Row],[TC]]</f>
        <v>0</v>
      </c>
      <c r="L332" s="8" t="s">
        <v>303</v>
      </c>
      <c r="M332" s="8" t="s">
        <v>304</v>
      </c>
      <c r="N332" s="8" t="s">
        <v>30</v>
      </c>
      <c r="O332" s="8" t="s">
        <v>184</v>
      </c>
      <c r="P332" s="8" t="s">
        <v>187</v>
      </c>
      <c r="Q332" s="8" t="s">
        <v>188</v>
      </c>
      <c r="R332" s="8" t="s">
        <v>317</v>
      </c>
      <c r="S332" s="8"/>
      <c r="T332" s="8"/>
      <c r="U332" s="8" t="s">
        <v>261</v>
      </c>
      <c r="V332" s="8"/>
      <c r="W332" s="8" t="s">
        <v>306</v>
      </c>
      <c r="X332" s="8" t="s">
        <v>98</v>
      </c>
      <c r="Y332" s="8" t="s">
        <v>23</v>
      </c>
    </row>
    <row r="333" spans="1:25" hidden="1" x14ac:dyDescent="0.25">
      <c r="A333" s="283" t="s">
        <v>725</v>
      </c>
      <c r="B333" s="260">
        <v>45835</v>
      </c>
      <c r="C333" s="261" t="s">
        <v>356</v>
      </c>
      <c r="D333" s="261"/>
      <c r="E333" s="262">
        <v>75693.83</v>
      </c>
      <c r="F333" s="262">
        <v>0</v>
      </c>
      <c r="G333" s="285">
        <f>Tabla3[[#This Row],[INGRESOS]]-Tabla3[[#This Row],[EGRESOS]]</f>
        <v>-75693.83</v>
      </c>
      <c r="H333" s="285"/>
      <c r="I333" s="135">
        <v>1171</v>
      </c>
      <c r="J333" s="136">
        <f>Tabla3[[#This Row],[EGRESOS]]/Tabla3[[#This Row],[TC]]</f>
        <v>64.640333048676339</v>
      </c>
      <c r="K333" s="136">
        <f>Tabla3[[#This Row],[INGRESOS]]/Tabla3[[#This Row],[TC]]</f>
        <v>0</v>
      </c>
      <c r="L333" s="8" t="s">
        <v>303</v>
      </c>
      <c r="M333" s="8" t="s">
        <v>304</v>
      </c>
      <c r="N333" s="8" t="s">
        <v>30</v>
      </c>
      <c r="O333" s="8" t="s">
        <v>184</v>
      </c>
      <c r="P333" s="8" t="s">
        <v>189</v>
      </c>
      <c r="Q333" s="8" t="s">
        <v>190</v>
      </c>
      <c r="R333" s="8"/>
      <c r="S333" s="8"/>
      <c r="T333" s="8"/>
      <c r="U333" s="8" t="s">
        <v>261</v>
      </c>
      <c r="V333" s="8"/>
      <c r="W333" s="8" t="s">
        <v>306</v>
      </c>
      <c r="X333" s="8" t="s">
        <v>98</v>
      </c>
      <c r="Y333" s="8" t="s">
        <v>23</v>
      </c>
    </row>
    <row r="334" spans="1:25" hidden="1" x14ac:dyDescent="0.25">
      <c r="A334" s="283" t="s">
        <v>725</v>
      </c>
      <c r="B334" s="260">
        <v>45835</v>
      </c>
      <c r="C334" s="261" t="s">
        <v>396</v>
      </c>
      <c r="D334" s="261"/>
      <c r="E334" s="262">
        <v>454.16</v>
      </c>
      <c r="F334" s="262">
        <v>0</v>
      </c>
      <c r="G334" s="285">
        <f>Tabla3[[#This Row],[INGRESOS]]-Tabla3[[#This Row],[EGRESOS]]</f>
        <v>-454.16</v>
      </c>
      <c r="H334" s="285">
        <v>-756542.07</v>
      </c>
      <c r="I334" s="135">
        <v>1172</v>
      </c>
      <c r="J334" s="136">
        <f>Tabla3[[#This Row],[EGRESOS]]/Tabla3[[#This Row],[TC]]</f>
        <v>0.38750853242320821</v>
      </c>
      <c r="K334" s="136">
        <f>Tabla3[[#This Row],[INGRESOS]]/Tabla3[[#This Row],[TC]]</f>
        <v>0</v>
      </c>
      <c r="L334" s="8" t="s">
        <v>303</v>
      </c>
      <c r="M334" s="8" t="s">
        <v>304</v>
      </c>
      <c r="N334" s="8" t="s">
        <v>30</v>
      </c>
      <c r="O334" s="8" t="s">
        <v>184</v>
      </c>
      <c r="P334" s="8" t="s">
        <v>187</v>
      </c>
      <c r="Q334" s="8" t="s">
        <v>188</v>
      </c>
      <c r="R334" s="8" t="s">
        <v>317</v>
      </c>
      <c r="S334" s="8"/>
      <c r="T334" s="8"/>
      <c r="U334" s="8" t="s">
        <v>261</v>
      </c>
      <c r="V334" s="8"/>
      <c r="W334" s="8" t="s">
        <v>306</v>
      </c>
      <c r="X334" s="8" t="s">
        <v>98</v>
      </c>
      <c r="Y334" s="8" t="s">
        <v>23</v>
      </c>
    </row>
    <row r="335" spans="1:25" hidden="1" x14ac:dyDescent="0.25">
      <c r="A335" s="283" t="s">
        <v>726</v>
      </c>
      <c r="B335" s="260">
        <v>45839</v>
      </c>
      <c r="C335" s="261" t="s">
        <v>423</v>
      </c>
      <c r="D335" s="261"/>
      <c r="E335" s="262">
        <v>0</v>
      </c>
      <c r="F335" s="262">
        <v>770000</v>
      </c>
      <c r="G335" s="285">
        <f>Tabla3[[#This Row],[INGRESOS]]-Tabla3[[#This Row],[EGRESOS]]</f>
        <v>770000</v>
      </c>
      <c r="H335" s="285"/>
      <c r="I335" s="135">
        <v>1173</v>
      </c>
      <c r="J335" s="136">
        <f>Tabla3[[#This Row],[EGRESOS]]/Tabla3[[#This Row],[TC]]</f>
        <v>0</v>
      </c>
      <c r="K335" s="136">
        <f>Tabla3[[#This Row],[INGRESOS]]/Tabla3[[#This Row],[TC]]</f>
        <v>656.43648763853366</v>
      </c>
      <c r="L335" s="8" t="s">
        <v>303</v>
      </c>
      <c r="M335" s="8" t="s">
        <v>304</v>
      </c>
      <c r="N335" s="8" t="s">
        <v>30</v>
      </c>
      <c r="O335" s="8" t="s">
        <v>214</v>
      </c>
      <c r="P335" s="8" t="s">
        <v>216</v>
      </c>
      <c r="Q335" s="8" t="s">
        <v>217</v>
      </c>
      <c r="R335" s="8" t="s">
        <v>388</v>
      </c>
      <c r="S335" s="8"/>
      <c r="T335" s="8"/>
      <c r="U335" s="8" t="s">
        <v>262</v>
      </c>
      <c r="V335" s="8"/>
      <c r="W335" s="8"/>
      <c r="X335" s="8"/>
      <c r="Y335" s="8"/>
    </row>
    <row r="336" spans="1:25" hidden="1" x14ac:dyDescent="0.25">
      <c r="A336" s="283" t="s">
        <v>726</v>
      </c>
      <c r="B336" s="260">
        <v>45839</v>
      </c>
      <c r="C336" s="261" t="s">
        <v>391</v>
      </c>
      <c r="D336" s="261"/>
      <c r="E336" s="262">
        <v>27000</v>
      </c>
      <c r="F336" s="262">
        <v>0</v>
      </c>
      <c r="G336" s="285">
        <f>Tabla3[[#This Row],[INGRESOS]]-Tabla3[[#This Row],[EGRESOS]]</f>
        <v>-27000</v>
      </c>
      <c r="H336" s="285"/>
      <c r="I336" s="135">
        <v>1174</v>
      </c>
      <c r="J336" s="136">
        <f>Tabla3[[#This Row],[EGRESOS]]/Tabla3[[#This Row],[TC]]</f>
        <v>22.998296422487222</v>
      </c>
      <c r="K336" s="136">
        <f>Tabla3[[#This Row],[INGRESOS]]/Tabla3[[#This Row],[TC]]</f>
        <v>0</v>
      </c>
      <c r="L336" s="8" t="s">
        <v>303</v>
      </c>
      <c r="M336" s="8" t="s">
        <v>304</v>
      </c>
      <c r="N336" s="8" t="s">
        <v>30</v>
      </c>
      <c r="O336" s="8" t="s">
        <v>184</v>
      </c>
      <c r="P336" s="8" t="s">
        <v>185</v>
      </c>
      <c r="Q336" s="8" t="s">
        <v>186</v>
      </c>
      <c r="R336" s="8"/>
      <c r="S336" s="8"/>
      <c r="T336" s="8"/>
      <c r="U336" s="8" t="s">
        <v>261</v>
      </c>
      <c r="V336" s="8"/>
      <c r="W336" s="8" t="s">
        <v>306</v>
      </c>
      <c r="X336" s="8" t="s">
        <v>98</v>
      </c>
      <c r="Y336" s="8" t="s">
        <v>23</v>
      </c>
    </row>
    <row r="337" spans="1:25" hidden="1" x14ac:dyDescent="0.25">
      <c r="A337" s="283" t="s">
        <v>726</v>
      </c>
      <c r="B337" s="260">
        <v>45839</v>
      </c>
      <c r="C337" s="261" t="s">
        <v>393</v>
      </c>
      <c r="D337" s="261"/>
      <c r="E337" s="262">
        <v>5670</v>
      </c>
      <c r="F337" s="262">
        <v>0</v>
      </c>
      <c r="G337" s="285">
        <f>Tabla3[[#This Row],[INGRESOS]]-Tabla3[[#This Row],[EGRESOS]]</f>
        <v>-5670</v>
      </c>
      <c r="H337" s="285"/>
      <c r="I337" s="135">
        <v>1175</v>
      </c>
      <c r="J337" s="136">
        <f>Tabla3[[#This Row],[EGRESOS]]/Tabla3[[#This Row],[TC]]</f>
        <v>4.8255319148936167</v>
      </c>
      <c r="K337" s="136">
        <f>Tabla3[[#This Row],[INGRESOS]]/Tabla3[[#This Row],[TC]]</f>
        <v>0</v>
      </c>
      <c r="L337" s="8" t="s">
        <v>303</v>
      </c>
      <c r="M337" s="8" t="s">
        <v>304</v>
      </c>
      <c r="N337" s="8" t="s">
        <v>30</v>
      </c>
      <c r="O337" s="8" t="s">
        <v>184</v>
      </c>
      <c r="P337" s="8" t="s">
        <v>187</v>
      </c>
      <c r="Q337" s="8" t="s">
        <v>188</v>
      </c>
      <c r="R337" s="8" t="s">
        <v>308</v>
      </c>
      <c r="S337" s="8"/>
      <c r="T337" s="8"/>
      <c r="U337" s="8" t="s">
        <v>261</v>
      </c>
      <c r="V337" s="8"/>
      <c r="W337" s="8" t="s">
        <v>306</v>
      </c>
      <c r="X337" s="8" t="s">
        <v>98</v>
      </c>
      <c r="Y337" s="8" t="s">
        <v>23</v>
      </c>
    </row>
    <row r="338" spans="1:25" hidden="1" x14ac:dyDescent="0.25">
      <c r="A338" s="283" t="s">
        <v>726</v>
      </c>
      <c r="B338" s="260">
        <v>45839</v>
      </c>
      <c r="C338" s="261" t="s">
        <v>394</v>
      </c>
      <c r="D338" s="261"/>
      <c r="E338" s="262">
        <v>810</v>
      </c>
      <c r="F338" s="262">
        <v>0</v>
      </c>
      <c r="G338" s="285">
        <f>Tabla3[[#This Row],[INGRESOS]]-Tabla3[[#This Row],[EGRESOS]]</f>
        <v>-810</v>
      </c>
      <c r="H338" s="285"/>
      <c r="I338" s="135">
        <v>1176</v>
      </c>
      <c r="J338" s="136">
        <f>Tabla3[[#This Row],[EGRESOS]]/Tabla3[[#This Row],[TC]]</f>
        <v>0.68877551020408168</v>
      </c>
      <c r="K338" s="136">
        <f>Tabla3[[#This Row],[INGRESOS]]/Tabla3[[#This Row],[TC]]</f>
        <v>0</v>
      </c>
      <c r="L338" s="8" t="s">
        <v>303</v>
      </c>
      <c r="M338" s="8" t="s">
        <v>304</v>
      </c>
      <c r="N338" s="8" t="s">
        <v>30</v>
      </c>
      <c r="O338" s="8" t="s">
        <v>184</v>
      </c>
      <c r="P338" s="8" t="s">
        <v>187</v>
      </c>
      <c r="Q338" s="8" t="s">
        <v>188</v>
      </c>
      <c r="R338" s="8" t="s">
        <v>395</v>
      </c>
      <c r="S338" s="8"/>
      <c r="T338" s="8"/>
      <c r="U338" s="8" t="s">
        <v>261</v>
      </c>
      <c r="V338" s="8"/>
      <c r="W338" s="8" t="s">
        <v>306</v>
      </c>
      <c r="X338" s="8" t="s">
        <v>98</v>
      </c>
      <c r="Y338" s="8" t="s">
        <v>23</v>
      </c>
    </row>
    <row r="339" spans="1:25" hidden="1" x14ac:dyDescent="0.25">
      <c r="A339" s="277" t="s">
        <v>726</v>
      </c>
      <c r="B339" s="278">
        <v>45839</v>
      </c>
      <c r="C339" s="279" t="s">
        <v>396</v>
      </c>
      <c r="D339" s="279"/>
      <c r="E339" s="280">
        <v>162</v>
      </c>
      <c r="F339" s="280">
        <v>0</v>
      </c>
      <c r="G339" s="353">
        <f>Tabla3[[#This Row],[INGRESOS]]-Tabla3[[#This Row],[EGRESOS]]</f>
        <v>-162</v>
      </c>
      <c r="H339" s="353"/>
      <c r="I339" s="275">
        <v>1177</v>
      </c>
      <c r="J339" s="281">
        <f>Tabla3[[#This Row],[EGRESOS]]/Tabla3[[#This Row],[TC]]</f>
        <v>0.13763806287170774</v>
      </c>
      <c r="K339" s="281">
        <f>Tabla3[[#This Row],[INGRESOS]]/Tabla3[[#This Row],[TC]]</f>
        <v>0</v>
      </c>
      <c r="L339" s="282" t="s">
        <v>303</v>
      </c>
      <c r="M339" s="282" t="s">
        <v>304</v>
      </c>
      <c r="N339" s="282" t="s">
        <v>30</v>
      </c>
      <c r="O339" s="282" t="s">
        <v>184</v>
      </c>
      <c r="P339" s="282" t="s">
        <v>187</v>
      </c>
      <c r="Q339" s="282" t="s">
        <v>188</v>
      </c>
      <c r="R339" s="282" t="s">
        <v>317</v>
      </c>
      <c r="S339" s="282"/>
      <c r="T339" s="282"/>
      <c r="U339" s="282" t="s">
        <v>261</v>
      </c>
      <c r="V339" s="282"/>
      <c r="W339" s="282" t="s">
        <v>306</v>
      </c>
      <c r="X339" s="282" t="s">
        <v>98</v>
      </c>
      <c r="Y339" s="282" t="s">
        <v>23</v>
      </c>
    </row>
    <row r="340" spans="1:25" hidden="1" x14ac:dyDescent="0.25">
      <c r="A340" s="277" t="s">
        <v>726</v>
      </c>
      <c r="B340" s="278">
        <v>45839</v>
      </c>
      <c r="C340" s="279" t="s">
        <v>396</v>
      </c>
      <c r="D340" s="279"/>
      <c r="E340" s="280">
        <v>34.020000000000003</v>
      </c>
      <c r="F340" s="280">
        <v>0</v>
      </c>
      <c r="G340" s="353">
        <f>Tabla3[[#This Row],[INGRESOS]]-Tabla3[[#This Row],[EGRESOS]]</f>
        <v>-34.020000000000003</v>
      </c>
      <c r="H340" s="353"/>
      <c r="I340" s="275">
        <v>1178</v>
      </c>
      <c r="J340" s="281">
        <f>Tabla3[[#This Row],[EGRESOS]]/Tabla3[[#This Row],[TC]]</f>
        <v>2.8879456706281836E-2</v>
      </c>
      <c r="K340" s="281">
        <f>Tabla3[[#This Row],[INGRESOS]]/Tabla3[[#This Row],[TC]]</f>
        <v>0</v>
      </c>
      <c r="L340" s="282" t="s">
        <v>303</v>
      </c>
      <c r="M340" s="282" t="s">
        <v>304</v>
      </c>
      <c r="N340" s="282" t="s">
        <v>30</v>
      </c>
      <c r="O340" s="282" t="s">
        <v>184</v>
      </c>
      <c r="P340" s="282" t="s">
        <v>187</v>
      </c>
      <c r="Q340" s="282" t="s">
        <v>188</v>
      </c>
      <c r="R340" s="282" t="s">
        <v>317</v>
      </c>
      <c r="S340" s="282"/>
      <c r="T340" s="282"/>
      <c r="U340" s="282" t="s">
        <v>261</v>
      </c>
      <c r="V340" s="282"/>
      <c r="W340" s="282" t="s">
        <v>306</v>
      </c>
      <c r="X340" s="282" t="s">
        <v>98</v>
      </c>
      <c r="Y340" s="282" t="s">
        <v>23</v>
      </c>
    </row>
    <row r="341" spans="1:25" hidden="1" x14ac:dyDescent="0.25">
      <c r="A341" s="277" t="s">
        <v>726</v>
      </c>
      <c r="B341" s="278">
        <v>45839</v>
      </c>
      <c r="C341" s="279" t="s">
        <v>396</v>
      </c>
      <c r="D341" s="279"/>
      <c r="E341" s="280">
        <v>4.8600000000000003</v>
      </c>
      <c r="F341" s="280">
        <v>0</v>
      </c>
      <c r="G341" s="353">
        <f>Tabla3[[#This Row],[INGRESOS]]-Tabla3[[#This Row],[EGRESOS]]</f>
        <v>-4.8600000000000003</v>
      </c>
      <c r="H341" s="353">
        <v>29775</v>
      </c>
      <c r="I341" s="275">
        <v>1179</v>
      </c>
      <c r="J341" s="281">
        <f>Tabla3[[#This Row],[EGRESOS]]/Tabla3[[#This Row],[TC]]</f>
        <v>4.1221374045801529E-3</v>
      </c>
      <c r="K341" s="281">
        <f>Tabla3[[#This Row],[INGRESOS]]/Tabla3[[#This Row],[TC]]</f>
        <v>0</v>
      </c>
      <c r="L341" s="282" t="s">
        <v>303</v>
      </c>
      <c r="M341" s="282" t="s">
        <v>304</v>
      </c>
      <c r="N341" s="282" t="s">
        <v>30</v>
      </c>
      <c r="O341" s="282" t="s">
        <v>184</v>
      </c>
      <c r="P341" s="282" t="s">
        <v>187</v>
      </c>
      <c r="Q341" s="282" t="s">
        <v>188</v>
      </c>
      <c r="R341" s="282" t="s">
        <v>317</v>
      </c>
      <c r="S341" s="282"/>
      <c r="T341" s="282"/>
      <c r="U341" s="282" t="s">
        <v>261</v>
      </c>
      <c r="V341" s="282"/>
      <c r="W341" s="282" t="s">
        <v>306</v>
      </c>
      <c r="X341" s="282" t="s">
        <v>98</v>
      </c>
      <c r="Y341" s="282" t="s">
        <v>23</v>
      </c>
    </row>
    <row r="342" spans="1:25" hidden="1" x14ac:dyDescent="0.25">
      <c r="A342" s="277" t="s">
        <v>726</v>
      </c>
      <c r="B342" s="278">
        <v>45840</v>
      </c>
      <c r="C342" s="279" t="s">
        <v>423</v>
      </c>
      <c r="D342" s="279"/>
      <c r="E342" s="280">
        <v>0</v>
      </c>
      <c r="F342" s="280">
        <v>50000</v>
      </c>
      <c r="G342" s="353">
        <f>Tabla3[[#This Row],[INGRESOS]]-Tabla3[[#This Row],[EGRESOS]]</f>
        <v>50000</v>
      </c>
      <c r="H342" s="353">
        <v>29777.05</v>
      </c>
      <c r="I342" s="275">
        <v>1180</v>
      </c>
      <c r="J342" s="281">
        <f>Tabla3[[#This Row],[EGRESOS]]/Tabla3[[#This Row],[TC]]</f>
        <v>0</v>
      </c>
      <c r="K342" s="281">
        <f>Tabla3[[#This Row],[INGRESOS]]/Tabla3[[#This Row],[TC]]</f>
        <v>42.372881355932201</v>
      </c>
      <c r="L342" s="282" t="s">
        <v>303</v>
      </c>
      <c r="M342" s="282" t="s">
        <v>304</v>
      </c>
      <c r="N342" s="282" t="s">
        <v>30</v>
      </c>
      <c r="O342" s="282" t="s">
        <v>214</v>
      </c>
      <c r="P342" s="282" t="s">
        <v>216</v>
      </c>
      <c r="Q342" s="282" t="s">
        <v>217</v>
      </c>
      <c r="R342" s="282" t="s">
        <v>388</v>
      </c>
      <c r="S342" s="282"/>
      <c r="T342" s="282"/>
      <c r="U342" s="282" t="s">
        <v>262</v>
      </c>
      <c r="V342" s="282"/>
      <c r="W342" s="282"/>
      <c r="X342" s="282"/>
      <c r="Y342" s="282"/>
    </row>
    <row r="343" spans="1:25" hidden="1" x14ac:dyDescent="0.25">
      <c r="A343" s="277" t="s">
        <v>726</v>
      </c>
      <c r="B343" s="278">
        <v>45863</v>
      </c>
      <c r="C343" s="279" t="s">
        <v>772</v>
      </c>
      <c r="D343" s="279"/>
      <c r="E343" s="280">
        <v>6050</v>
      </c>
      <c r="F343" s="280">
        <v>0</v>
      </c>
      <c r="G343" s="353">
        <f>Tabla3[[#This Row],[INGRESOS]]-Tabla3[[#This Row],[EGRESOS]]</f>
        <v>-6050</v>
      </c>
      <c r="H343" s="354"/>
      <c r="I343" s="275">
        <v>1181</v>
      </c>
      <c r="J343" s="281">
        <f>Tabla3[[#This Row],[EGRESOS]]/Tabla3[[#This Row],[TC]]</f>
        <v>5.1227773073666381</v>
      </c>
      <c r="K343" s="281">
        <f>Tabla3[[#This Row],[INGRESOS]]/Tabla3[[#This Row],[TC]]</f>
        <v>0</v>
      </c>
      <c r="L343" s="282" t="s">
        <v>303</v>
      </c>
      <c r="M343" s="282" t="s">
        <v>304</v>
      </c>
      <c r="N343" s="282" t="s">
        <v>30</v>
      </c>
      <c r="O343" s="282" t="s">
        <v>184</v>
      </c>
      <c r="P343" s="282" t="s">
        <v>187</v>
      </c>
      <c r="Q343" s="282" t="s">
        <v>188</v>
      </c>
      <c r="R343" s="282" t="s">
        <v>317</v>
      </c>
      <c r="S343" s="282"/>
      <c r="T343" s="282"/>
      <c r="U343" s="282" t="s">
        <v>261</v>
      </c>
      <c r="V343" s="282"/>
      <c r="W343" s="282" t="s">
        <v>306</v>
      </c>
      <c r="X343" s="282" t="s">
        <v>98</v>
      </c>
      <c r="Y343" s="282" t="s">
        <v>23</v>
      </c>
    </row>
    <row r="344" spans="1:25" hidden="1" x14ac:dyDescent="0.25">
      <c r="A344" s="277" t="s">
        <v>726</v>
      </c>
      <c r="B344" s="278">
        <v>45863</v>
      </c>
      <c r="C344" s="279" t="s">
        <v>396</v>
      </c>
      <c r="D344" s="279"/>
      <c r="E344" s="280">
        <v>36.299999999999997</v>
      </c>
      <c r="F344" s="280">
        <v>0</v>
      </c>
      <c r="G344" s="353">
        <f>Tabla3[[#This Row],[INGRESOS]]-Tabla3[[#This Row],[EGRESOS]]</f>
        <v>-36.299999999999997</v>
      </c>
      <c r="H344" s="354">
        <v>17164.439999999999</v>
      </c>
      <c r="I344" s="275">
        <v>1182</v>
      </c>
      <c r="J344" s="281">
        <f>Tabla3[[#This Row],[EGRESOS]]/Tabla3[[#This Row],[TC]]</f>
        <v>3.0710659898477155E-2</v>
      </c>
      <c r="K344" s="281">
        <f>Tabla3[[#This Row],[INGRESOS]]/Tabla3[[#This Row],[TC]]</f>
        <v>0</v>
      </c>
      <c r="L344" s="282" t="s">
        <v>303</v>
      </c>
      <c r="M344" s="282" t="s">
        <v>304</v>
      </c>
      <c r="N344" s="282" t="s">
        <v>30</v>
      </c>
      <c r="O344" s="282" t="s">
        <v>184</v>
      </c>
      <c r="P344" s="282" t="s">
        <v>187</v>
      </c>
      <c r="Q344" s="282" t="s">
        <v>188</v>
      </c>
      <c r="R344" s="282" t="s">
        <v>317</v>
      </c>
      <c r="S344" s="282"/>
      <c r="T344" s="282"/>
      <c r="U344" s="282" t="s">
        <v>261</v>
      </c>
      <c r="V344" s="282"/>
      <c r="W344" s="282" t="s">
        <v>306</v>
      </c>
      <c r="X344" s="282" t="s">
        <v>98</v>
      </c>
      <c r="Y344" s="282" t="s">
        <v>23</v>
      </c>
    </row>
    <row r="345" spans="1:25" hidden="1" x14ac:dyDescent="0.25">
      <c r="A345" s="256" t="s">
        <v>183</v>
      </c>
      <c r="B345" s="257">
        <v>45659</v>
      </c>
      <c r="C345" s="250" t="s">
        <v>436</v>
      </c>
      <c r="D345" s="250"/>
      <c r="E345" s="258">
        <v>1260</v>
      </c>
      <c r="F345" s="262">
        <v>0</v>
      </c>
      <c r="G345" s="276">
        <f>Tabla3[[#This Row],[INGRESOS]]-Tabla3[[#This Row],[EGRESOS]]</f>
        <v>-1260</v>
      </c>
      <c r="H345" s="132">
        <v>25700.49</v>
      </c>
      <c r="I345" s="119">
        <v>1140</v>
      </c>
      <c r="J345" s="99">
        <f>Tabla3[[#This Row],[EGRESOS]]/Tabla3[[#This Row],[TC]]</f>
        <v>1.1052631578947369</v>
      </c>
      <c r="K345" s="99">
        <f>Tabla3[[#This Row],[INGRESOS]]/Tabla3[[#This Row],[TC]]</f>
        <v>0</v>
      </c>
      <c r="L345" s="7" t="s">
        <v>303</v>
      </c>
      <c r="M345" s="7" t="s">
        <v>304</v>
      </c>
      <c r="N345" s="7" t="s">
        <v>28</v>
      </c>
      <c r="O345" s="7" t="s">
        <v>184</v>
      </c>
      <c r="P345" s="7" t="s">
        <v>187</v>
      </c>
      <c r="Q345" s="7" t="s">
        <v>188</v>
      </c>
      <c r="R345" s="7" t="s">
        <v>334</v>
      </c>
      <c r="S345" s="7"/>
      <c r="T345" s="7"/>
      <c r="U345" s="7" t="s">
        <v>261</v>
      </c>
      <c r="V345" s="7"/>
      <c r="W345" s="7" t="s">
        <v>306</v>
      </c>
      <c r="X345" s="7" t="s">
        <v>98</v>
      </c>
      <c r="Y345" s="7" t="s">
        <v>23</v>
      </c>
    </row>
    <row r="346" spans="1:25" hidden="1" x14ac:dyDescent="0.25">
      <c r="A346" s="256" t="s">
        <v>183</v>
      </c>
      <c r="B346" s="257">
        <v>45659</v>
      </c>
      <c r="C346" s="250" t="s">
        <v>232</v>
      </c>
      <c r="D346" s="250"/>
      <c r="E346" s="258">
        <v>8820</v>
      </c>
      <c r="F346" s="258">
        <v>0</v>
      </c>
      <c r="G346" s="276">
        <f>Tabla3[[#This Row],[INGRESOS]]-Tabla3[[#This Row],[EGRESOS]]</f>
        <v>-8820</v>
      </c>
      <c r="H346" s="132">
        <v>16880.490000000002</v>
      </c>
      <c r="I346" s="119">
        <v>1140</v>
      </c>
      <c r="J346" s="99">
        <f>Tabla3[[#This Row],[EGRESOS]]/Tabla3[[#This Row],[TC]]</f>
        <v>7.7368421052631575</v>
      </c>
      <c r="K346" s="99">
        <f>Tabla3[[#This Row],[INGRESOS]]/Tabla3[[#This Row],[TC]]</f>
        <v>0</v>
      </c>
      <c r="L346" s="7" t="s">
        <v>303</v>
      </c>
      <c r="M346" s="7" t="s">
        <v>304</v>
      </c>
      <c r="N346" s="7" t="s">
        <v>28</v>
      </c>
      <c r="O346" s="7" t="s">
        <v>184</v>
      </c>
      <c r="P346" s="7" t="s">
        <v>187</v>
      </c>
      <c r="Q346" s="7" t="s">
        <v>188</v>
      </c>
      <c r="R346" s="7" t="s">
        <v>308</v>
      </c>
      <c r="S346" s="7"/>
      <c r="T346" s="7"/>
      <c r="U346" s="7" t="s">
        <v>261</v>
      </c>
      <c r="V346" s="7"/>
      <c r="W346" s="7" t="s">
        <v>306</v>
      </c>
      <c r="X346" s="7" t="s">
        <v>98</v>
      </c>
      <c r="Y346" s="7" t="s">
        <v>23</v>
      </c>
    </row>
    <row r="347" spans="1:25" hidden="1" x14ac:dyDescent="0.25">
      <c r="A347" s="256" t="s">
        <v>183</v>
      </c>
      <c r="B347" s="257">
        <v>45659</v>
      </c>
      <c r="C347" s="250" t="s">
        <v>437</v>
      </c>
      <c r="D347" s="250"/>
      <c r="E347" s="258">
        <v>42000</v>
      </c>
      <c r="F347" s="258">
        <v>0</v>
      </c>
      <c r="G347" s="276">
        <f>Tabla3[[#This Row],[INGRESOS]]-Tabla3[[#This Row],[EGRESOS]]</f>
        <v>-42000</v>
      </c>
      <c r="H347" s="132">
        <v>-25119.51</v>
      </c>
      <c r="I347" s="119">
        <v>1140</v>
      </c>
      <c r="J347" s="99">
        <f>Tabla3[[#This Row],[EGRESOS]]/Tabla3[[#This Row],[TC]]</f>
        <v>36.842105263157897</v>
      </c>
      <c r="K347" s="99">
        <f>Tabla3[[#This Row],[INGRESOS]]/Tabla3[[#This Row],[TC]]</f>
        <v>0</v>
      </c>
      <c r="L347" s="7" t="s">
        <v>303</v>
      </c>
      <c r="M347" s="7" t="s">
        <v>304</v>
      </c>
      <c r="N347" s="7" t="s">
        <v>28</v>
      </c>
      <c r="O347" s="7" t="s">
        <v>184</v>
      </c>
      <c r="P347" s="7" t="s">
        <v>185</v>
      </c>
      <c r="Q347" s="7" t="s">
        <v>186</v>
      </c>
      <c r="R347" s="7"/>
      <c r="S347" s="7"/>
      <c r="T347" s="7"/>
      <c r="U347" s="7" t="s">
        <v>261</v>
      </c>
      <c r="V347" s="7"/>
      <c r="W347" s="7" t="s">
        <v>306</v>
      </c>
      <c r="X347" s="7" t="s">
        <v>98</v>
      </c>
      <c r="Y347" s="7" t="s">
        <v>23</v>
      </c>
    </row>
    <row r="348" spans="1:25" hidden="1" x14ac:dyDescent="0.25">
      <c r="A348" s="256" t="s">
        <v>183</v>
      </c>
      <c r="B348" s="257">
        <v>45659</v>
      </c>
      <c r="C348" s="250" t="s">
        <v>438</v>
      </c>
      <c r="D348" s="250"/>
      <c r="E348" s="258">
        <v>312.48</v>
      </c>
      <c r="F348" s="258">
        <v>0</v>
      </c>
      <c r="G348" s="276">
        <f>Tabla3[[#This Row],[INGRESOS]]-Tabla3[[#This Row],[EGRESOS]]</f>
        <v>-312.48</v>
      </c>
      <c r="H348" s="132">
        <v>-25431.99</v>
      </c>
      <c r="I348" s="119">
        <v>1140</v>
      </c>
      <c r="J348" s="99">
        <f>Tabla3[[#This Row],[EGRESOS]]/Tabla3[[#This Row],[TC]]</f>
        <v>0.27410526315789474</v>
      </c>
      <c r="K348" s="99">
        <f>Tabla3[[#This Row],[INGRESOS]]/Tabla3[[#This Row],[TC]]</f>
        <v>0</v>
      </c>
      <c r="L348" s="7" t="s">
        <v>303</v>
      </c>
      <c r="M348" s="7" t="s">
        <v>304</v>
      </c>
      <c r="N348" s="7" t="s">
        <v>28</v>
      </c>
      <c r="O348" s="7" t="s">
        <v>184</v>
      </c>
      <c r="P348" s="7" t="s">
        <v>187</v>
      </c>
      <c r="Q348" s="7" t="s">
        <v>188</v>
      </c>
      <c r="R348" s="7" t="s">
        <v>317</v>
      </c>
      <c r="S348" s="7"/>
      <c r="T348" s="7"/>
      <c r="U348" s="7" t="s">
        <v>261</v>
      </c>
      <c r="V348" s="7"/>
      <c r="W348" s="7" t="s">
        <v>306</v>
      </c>
      <c r="X348" s="7" t="s">
        <v>98</v>
      </c>
      <c r="Y348" s="7" t="s">
        <v>23</v>
      </c>
    </row>
    <row r="349" spans="1:25" hidden="1" x14ac:dyDescent="0.25">
      <c r="A349" s="256" t="s">
        <v>183</v>
      </c>
      <c r="B349" s="257">
        <v>45659</v>
      </c>
      <c r="C349" s="250" t="s">
        <v>439</v>
      </c>
      <c r="D349" s="250"/>
      <c r="E349" s="258">
        <v>58456.03</v>
      </c>
      <c r="F349" s="258">
        <v>0</v>
      </c>
      <c r="G349" s="276">
        <f>Tabla3[[#This Row],[INGRESOS]]-Tabla3[[#This Row],[EGRESOS]]</f>
        <v>-58456.03</v>
      </c>
      <c r="H349" s="132">
        <v>-83888.02</v>
      </c>
      <c r="I349" s="119">
        <v>1140</v>
      </c>
      <c r="J349" s="99">
        <f>Tabla3[[#This Row],[EGRESOS]]/Tabla3[[#This Row],[TC]]</f>
        <v>51.277219298245612</v>
      </c>
      <c r="K349" s="99">
        <f>Tabla3[[#This Row],[INGRESOS]]/Tabla3[[#This Row],[TC]]</f>
        <v>0</v>
      </c>
      <c r="L349" s="7" t="s">
        <v>303</v>
      </c>
      <c r="M349" s="7" t="s">
        <v>304</v>
      </c>
      <c r="N349" s="7" t="s">
        <v>28</v>
      </c>
      <c r="O349" s="7" t="s">
        <v>184</v>
      </c>
      <c r="P349" s="7" t="s">
        <v>189</v>
      </c>
      <c r="Q349" s="7" t="s">
        <v>190</v>
      </c>
      <c r="R349" s="7"/>
      <c r="S349" s="7"/>
      <c r="T349" s="7"/>
      <c r="U349" s="7" t="s">
        <v>261</v>
      </c>
      <c r="V349" s="7"/>
      <c r="W349" s="7" t="s">
        <v>306</v>
      </c>
      <c r="X349" s="7" t="s">
        <v>98</v>
      </c>
      <c r="Y349" s="7" t="s">
        <v>23</v>
      </c>
    </row>
    <row r="350" spans="1:25" hidden="1" x14ac:dyDescent="0.25">
      <c r="A350" s="256" t="s">
        <v>183</v>
      </c>
      <c r="B350" s="257">
        <v>45659</v>
      </c>
      <c r="C350" s="250" t="s">
        <v>381</v>
      </c>
      <c r="D350" s="250"/>
      <c r="E350" s="258">
        <v>1352.37</v>
      </c>
      <c r="F350" s="258">
        <v>0</v>
      </c>
      <c r="G350" s="276">
        <f>Tabla3[[#This Row],[INGRESOS]]-Tabla3[[#This Row],[EGRESOS]]</f>
        <v>-1352.37</v>
      </c>
      <c r="H350" s="132">
        <v>-85240.39</v>
      </c>
      <c r="I350" s="119">
        <v>1140</v>
      </c>
      <c r="J350" s="99">
        <f>Tabla3[[#This Row],[EGRESOS]]/Tabla3[[#This Row],[TC]]</f>
        <v>1.1862894736842104</v>
      </c>
      <c r="K350" s="99">
        <f>Tabla3[[#This Row],[INGRESOS]]/Tabla3[[#This Row],[TC]]</f>
        <v>0</v>
      </c>
      <c r="L350" s="7" t="s">
        <v>303</v>
      </c>
      <c r="M350" s="7" t="s">
        <v>304</v>
      </c>
      <c r="N350" s="7" t="s">
        <v>28</v>
      </c>
      <c r="O350" s="7" t="s">
        <v>184</v>
      </c>
      <c r="P350" s="7" t="s">
        <v>187</v>
      </c>
      <c r="Q350" s="7" t="s">
        <v>188</v>
      </c>
      <c r="R350" s="7" t="s">
        <v>339</v>
      </c>
      <c r="S350" s="7"/>
      <c r="T350" s="7"/>
      <c r="U350" s="7" t="s">
        <v>261</v>
      </c>
      <c r="V350" s="7"/>
      <c r="W350" s="7" t="s">
        <v>306</v>
      </c>
      <c r="X350" s="7" t="s">
        <v>98</v>
      </c>
      <c r="Y350" s="7" t="s">
        <v>23</v>
      </c>
    </row>
    <row r="351" spans="1:25" hidden="1" x14ac:dyDescent="0.25">
      <c r="A351" s="256" t="s">
        <v>183</v>
      </c>
      <c r="B351" s="257">
        <v>45659</v>
      </c>
      <c r="C351" s="250" t="s">
        <v>232</v>
      </c>
      <c r="D351" s="250"/>
      <c r="E351" s="258">
        <v>6137.88</v>
      </c>
      <c r="F351" s="258">
        <v>0</v>
      </c>
      <c r="G351" s="276">
        <f>Tabla3[[#This Row],[INGRESOS]]-Tabla3[[#This Row],[EGRESOS]]</f>
        <v>-6137.88</v>
      </c>
      <c r="H351" s="132">
        <v>-91378.27</v>
      </c>
      <c r="I351" s="119">
        <v>1140</v>
      </c>
      <c r="J351" s="99">
        <f>Tabla3[[#This Row],[EGRESOS]]/Tabla3[[#This Row],[TC]]</f>
        <v>5.3841052631578945</v>
      </c>
      <c r="K351" s="99">
        <f>Tabla3[[#This Row],[INGRESOS]]/Tabla3[[#This Row],[TC]]</f>
        <v>0</v>
      </c>
      <c r="L351" s="7" t="s">
        <v>303</v>
      </c>
      <c r="M351" s="7" t="s">
        <v>304</v>
      </c>
      <c r="N351" s="7" t="s">
        <v>28</v>
      </c>
      <c r="O351" s="7" t="s">
        <v>184</v>
      </c>
      <c r="P351" s="7" t="s">
        <v>187</v>
      </c>
      <c r="Q351" s="7" t="s">
        <v>188</v>
      </c>
      <c r="R351" s="7" t="s">
        <v>308</v>
      </c>
      <c r="S351" s="7"/>
      <c r="T351" s="7"/>
      <c r="U351" s="7" t="s">
        <v>261</v>
      </c>
      <c r="V351" s="7"/>
      <c r="W351" s="7" t="s">
        <v>306</v>
      </c>
      <c r="X351" s="7" t="s">
        <v>98</v>
      </c>
      <c r="Y351" s="7" t="s">
        <v>23</v>
      </c>
    </row>
    <row r="352" spans="1:25" hidden="1" x14ac:dyDescent="0.25">
      <c r="A352" s="256" t="s">
        <v>183</v>
      </c>
      <c r="B352" s="257">
        <v>45659</v>
      </c>
      <c r="C352" s="250" t="s">
        <v>436</v>
      </c>
      <c r="D352" s="250"/>
      <c r="E352" s="258">
        <v>876.84</v>
      </c>
      <c r="F352" s="258">
        <v>0</v>
      </c>
      <c r="G352" s="276">
        <f>Tabla3[[#This Row],[INGRESOS]]-Tabla3[[#This Row],[EGRESOS]]</f>
        <v>-876.84</v>
      </c>
      <c r="H352" s="132">
        <v>-92255.11</v>
      </c>
      <c r="I352" s="119">
        <v>1140</v>
      </c>
      <c r="J352" s="99">
        <f>Tabla3[[#This Row],[EGRESOS]]/Tabla3[[#This Row],[TC]]</f>
        <v>0.76915789473684215</v>
      </c>
      <c r="K352" s="99">
        <f>Tabla3[[#This Row],[INGRESOS]]/Tabla3[[#This Row],[TC]]</f>
        <v>0</v>
      </c>
      <c r="L352" s="7" t="s">
        <v>303</v>
      </c>
      <c r="M352" s="7" t="s">
        <v>304</v>
      </c>
      <c r="N352" s="7" t="s">
        <v>28</v>
      </c>
      <c r="O352" s="7" t="s">
        <v>184</v>
      </c>
      <c r="P352" s="7" t="s">
        <v>187</v>
      </c>
      <c r="Q352" s="7" t="s">
        <v>188</v>
      </c>
      <c r="R352" s="7" t="s">
        <v>334</v>
      </c>
      <c r="S352" s="7"/>
      <c r="T352" s="7"/>
      <c r="U352" s="7" t="s">
        <v>261</v>
      </c>
      <c r="V352" s="7"/>
      <c r="W352" s="7" t="s">
        <v>306</v>
      </c>
      <c r="X352" s="7" t="s">
        <v>98</v>
      </c>
      <c r="Y352" s="7" t="s">
        <v>23</v>
      </c>
    </row>
    <row r="353" spans="1:25" hidden="1" x14ac:dyDescent="0.25">
      <c r="A353" s="256" t="s">
        <v>183</v>
      </c>
      <c r="B353" s="257">
        <v>45659</v>
      </c>
      <c r="C353" s="250" t="s">
        <v>438</v>
      </c>
      <c r="D353" s="250"/>
      <c r="E353" s="258">
        <v>400.94</v>
      </c>
      <c r="F353" s="258">
        <v>0</v>
      </c>
      <c r="G353" s="276">
        <f>Tabla3[[#This Row],[INGRESOS]]-Tabla3[[#This Row],[EGRESOS]]</f>
        <v>-400.94</v>
      </c>
      <c r="H353" s="132">
        <v>-92656.05</v>
      </c>
      <c r="I353" s="119">
        <v>1140</v>
      </c>
      <c r="J353" s="99">
        <f>Tabla3[[#This Row],[EGRESOS]]/Tabla3[[#This Row],[TC]]</f>
        <v>0.3517017543859649</v>
      </c>
      <c r="K353" s="99">
        <f>Tabla3[[#This Row],[INGRESOS]]/Tabla3[[#This Row],[TC]]</f>
        <v>0</v>
      </c>
      <c r="L353" s="7" t="s">
        <v>303</v>
      </c>
      <c r="M353" s="7" t="s">
        <v>304</v>
      </c>
      <c r="N353" s="7" t="s">
        <v>28</v>
      </c>
      <c r="O353" s="7" t="s">
        <v>184</v>
      </c>
      <c r="P353" s="7" t="s">
        <v>187</v>
      </c>
      <c r="Q353" s="7" t="s">
        <v>188</v>
      </c>
      <c r="R353" s="7" t="s">
        <v>308</v>
      </c>
      <c r="S353" s="7"/>
      <c r="T353" s="7"/>
      <c r="U353" s="7" t="s">
        <v>261</v>
      </c>
      <c r="V353" s="7"/>
      <c r="W353" s="7" t="s">
        <v>306</v>
      </c>
      <c r="X353" s="7" t="s">
        <v>98</v>
      </c>
      <c r="Y353" s="7" t="s">
        <v>23</v>
      </c>
    </row>
    <row r="354" spans="1:25" hidden="1" x14ac:dyDescent="0.25">
      <c r="A354" s="256" t="s">
        <v>183</v>
      </c>
      <c r="B354" s="257">
        <v>45666</v>
      </c>
      <c r="C354" s="250" t="s">
        <v>440</v>
      </c>
      <c r="D354" s="250"/>
      <c r="E354" s="258">
        <v>326700</v>
      </c>
      <c r="F354" s="258">
        <v>0</v>
      </c>
      <c r="G354" s="276">
        <f>Tabla3[[#This Row],[INGRESOS]]-Tabla3[[#This Row],[EGRESOS]]</f>
        <v>-326700</v>
      </c>
      <c r="H354" s="132">
        <v>-419356.05</v>
      </c>
      <c r="I354" s="119">
        <v>1140</v>
      </c>
      <c r="J354" s="99">
        <f>Tabla3[[#This Row],[EGRESOS]]/Tabla3[[#This Row],[TC]]</f>
        <v>286.57894736842104</v>
      </c>
      <c r="K354" s="99">
        <f>Tabla3[[#This Row],[INGRESOS]]/Tabla3[[#This Row],[TC]]</f>
        <v>0</v>
      </c>
      <c r="L354" s="7" t="s">
        <v>303</v>
      </c>
      <c r="M354" s="7" t="s">
        <v>304</v>
      </c>
      <c r="N354" s="7" t="s">
        <v>28</v>
      </c>
      <c r="O354" s="7" t="s">
        <v>197</v>
      </c>
      <c r="P354" s="7" t="s">
        <v>198</v>
      </c>
      <c r="Q354" s="7" t="s">
        <v>200</v>
      </c>
      <c r="R354" s="7" t="s">
        <v>441</v>
      </c>
      <c r="S354" s="7" t="s">
        <v>442</v>
      </c>
      <c r="T354" s="7" t="s">
        <v>443</v>
      </c>
      <c r="U354" s="7" t="s">
        <v>257</v>
      </c>
      <c r="V354" s="7"/>
      <c r="W354" s="8" t="s">
        <v>306</v>
      </c>
      <c r="X354" s="7" t="s">
        <v>29</v>
      </c>
      <c r="Y354" s="7" t="s">
        <v>23</v>
      </c>
    </row>
    <row r="355" spans="1:25" hidden="1" x14ac:dyDescent="0.25">
      <c r="A355" s="256" t="s">
        <v>183</v>
      </c>
      <c r="B355" s="257">
        <v>45666</v>
      </c>
      <c r="C355" s="250" t="s">
        <v>438</v>
      </c>
      <c r="D355" s="250"/>
      <c r="E355" s="258">
        <v>1960.2</v>
      </c>
      <c r="F355" s="258">
        <v>0</v>
      </c>
      <c r="G355" s="276">
        <f>Tabla3[[#This Row],[INGRESOS]]-Tabla3[[#This Row],[EGRESOS]]</f>
        <v>-1960.2</v>
      </c>
      <c r="H355" s="137">
        <v>-421316.25</v>
      </c>
      <c r="I355" s="119">
        <v>1140</v>
      </c>
      <c r="J355" s="99">
        <f>Tabla3[[#This Row],[EGRESOS]]/Tabla3[[#This Row],[TC]]</f>
        <v>1.7194736842105263</v>
      </c>
      <c r="K355" s="99">
        <f>Tabla3[[#This Row],[INGRESOS]]/Tabla3[[#This Row],[TC]]</f>
        <v>0</v>
      </c>
      <c r="L355" s="7" t="s">
        <v>303</v>
      </c>
      <c r="M355" s="7" t="s">
        <v>304</v>
      </c>
      <c r="N355" s="7" t="s">
        <v>28</v>
      </c>
      <c r="O355" s="7" t="s">
        <v>184</v>
      </c>
      <c r="P355" s="7" t="s">
        <v>187</v>
      </c>
      <c r="Q355" s="7" t="s">
        <v>188</v>
      </c>
      <c r="R355" s="7" t="s">
        <v>317</v>
      </c>
      <c r="S355" s="7"/>
      <c r="T355" s="7"/>
      <c r="U355" s="7" t="s">
        <v>261</v>
      </c>
      <c r="V355" s="7"/>
      <c r="W355" s="8" t="s">
        <v>306</v>
      </c>
      <c r="X355" s="7" t="s">
        <v>98</v>
      </c>
      <c r="Y355" s="7" t="s">
        <v>23</v>
      </c>
    </row>
    <row r="356" spans="1:25" hidden="1" x14ac:dyDescent="0.25">
      <c r="A356" s="256" t="s">
        <v>183</v>
      </c>
      <c r="B356" s="257">
        <v>45670</v>
      </c>
      <c r="C356" s="250" t="s">
        <v>440</v>
      </c>
      <c r="D356" s="250"/>
      <c r="E356" s="258">
        <v>32500</v>
      </c>
      <c r="F356" s="258">
        <v>0</v>
      </c>
      <c r="G356" s="276">
        <f>Tabla3[[#This Row],[INGRESOS]]-Tabla3[[#This Row],[EGRESOS]]</f>
        <v>-32500</v>
      </c>
      <c r="H356" s="137">
        <v>-453816.25</v>
      </c>
      <c r="I356" s="119">
        <v>1140</v>
      </c>
      <c r="J356" s="99">
        <f>Tabla3[[#This Row],[EGRESOS]]/Tabla3[[#This Row],[TC]]</f>
        <v>28.508771929824562</v>
      </c>
      <c r="K356" s="99">
        <f>Tabla3[[#This Row],[INGRESOS]]/Tabla3[[#This Row],[TC]]</f>
        <v>0</v>
      </c>
      <c r="L356" s="7" t="s">
        <v>303</v>
      </c>
      <c r="M356" s="7" t="s">
        <v>304</v>
      </c>
      <c r="N356" s="7" t="s">
        <v>28</v>
      </c>
      <c r="O356" s="7" t="s">
        <v>204</v>
      </c>
      <c r="P356" s="7" t="s">
        <v>210</v>
      </c>
      <c r="Q356" s="7" t="s">
        <v>212</v>
      </c>
      <c r="R356" s="7" t="s">
        <v>444</v>
      </c>
      <c r="S356" s="7" t="s">
        <v>445</v>
      </c>
      <c r="T356" s="7"/>
      <c r="U356" s="7" t="s">
        <v>259</v>
      </c>
      <c r="V356" s="7"/>
      <c r="W356" s="7" t="s">
        <v>306</v>
      </c>
      <c r="X356" s="7" t="s">
        <v>29</v>
      </c>
      <c r="Y356" s="7" t="s">
        <v>23</v>
      </c>
    </row>
    <row r="357" spans="1:25" hidden="1" x14ac:dyDescent="0.25">
      <c r="A357" s="256" t="s">
        <v>183</v>
      </c>
      <c r="B357" s="257">
        <v>45670</v>
      </c>
      <c r="C357" s="250" t="s">
        <v>438</v>
      </c>
      <c r="D357" s="250"/>
      <c r="E357" s="258">
        <v>195</v>
      </c>
      <c r="F357" s="258">
        <v>0</v>
      </c>
      <c r="G357" s="276">
        <f>Tabla3[[#This Row],[INGRESOS]]-Tabla3[[#This Row],[EGRESOS]]</f>
        <v>-195</v>
      </c>
      <c r="H357" s="137">
        <v>-454011.25</v>
      </c>
      <c r="I357" s="119">
        <v>1140</v>
      </c>
      <c r="J357" s="99">
        <f>Tabla3[[#This Row],[EGRESOS]]/Tabla3[[#This Row],[TC]]</f>
        <v>0.17105263157894737</v>
      </c>
      <c r="K357" s="99">
        <f>Tabla3[[#This Row],[INGRESOS]]/Tabla3[[#This Row],[TC]]</f>
        <v>0</v>
      </c>
      <c r="L357" s="7" t="s">
        <v>303</v>
      </c>
      <c r="M357" s="7" t="s">
        <v>304</v>
      </c>
      <c r="N357" s="7" t="s">
        <v>28</v>
      </c>
      <c r="O357" s="7" t="s">
        <v>184</v>
      </c>
      <c r="P357" s="7" t="s">
        <v>187</v>
      </c>
      <c r="Q357" s="7" t="s">
        <v>188</v>
      </c>
      <c r="R357" s="7" t="s">
        <v>317</v>
      </c>
      <c r="S357" s="7"/>
      <c r="T357" s="7"/>
      <c r="U357" s="7" t="s">
        <v>261</v>
      </c>
      <c r="V357" s="7"/>
      <c r="W357" s="8" t="s">
        <v>306</v>
      </c>
      <c r="X357" s="7" t="s">
        <v>98</v>
      </c>
      <c r="Y357" s="7" t="s">
        <v>23</v>
      </c>
    </row>
    <row r="358" spans="1:25" hidden="1" x14ac:dyDescent="0.25">
      <c r="A358" s="256" t="s">
        <v>183</v>
      </c>
      <c r="B358" s="257">
        <v>45671</v>
      </c>
      <c r="C358" s="250" t="s">
        <v>446</v>
      </c>
      <c r="D358" s="250"/>
      <c r="E358" s="258">
        <v>1800000</v>
      </c>
      <c r="F358" s="258">
        <v>0</v>
      </c>
      <c r="G358" s="276">
        <f>Tabla3[[#This Row],[INGRESOS]]-Tabla3[[#This Row],[EGRESOS]]</f>
        <v>-1800000</v>
      </c>
      <c r="H358" s="137">
        <v>-2254011.25</v>
      </c>
      <c r="I358" s="119">
        <v>1140</v>
      </c>
      <c r="J358" s="99">
        <f>Tabla3[[#This Row],[EGRESOS]]/Tabla3[[#This Row],[TC]]</f>
        <v>1578.9473684210527</v>
      </c>
      <c r="K358" s="99">
        <f>Tabla3[[#This Row],[INGRESOS]]/Tabla3[[#This Row],[TC]]</f>
        <v>0</v>
      </c>
      <c r="L358" s="7" t="s">
        <v>303</v>
      </c>
      <c r="M358" s="7" t="s">
        <v>304</v>
      </c>
      <c r="N358" s="7" t="s">
        <v>28</v>
      </c>
      <c r="O358" s="7" t="s">
        <v>214</v>
      </c>
      <c r="P358" s="7" t="s">
        <v>216</v>
      </c>
      <c r="Q358" s="7" t="s">
        <v>217</v>
      </c>
      <c r="R358" s="7" t="s">
        <v>316</v>
      </c>
      <c r="S358" s="7"/>
      <c r="T358" s="7"/>
      <c r="U358" s="7" t="s">
        <v>262</v>
      </c>
      <c r="V358" s="7"/>
      <c r="W358" s="8" t="s">
        <v>306</v>
      </c>
      <c r="X358" s="7"/>
      <c r="Y358" s="7"/>
    </row>
    <row r="359" spans="1:25" hidden="1" x14ac:dyDescent="0.25">
      <c r="A359" s="256" t="s">
        <v>183</v>
      </c>
      <c r="B359" s="257">
        <v>45673</v>
      </c>
      <c r="C359" s="250" t="s">
        <v>438</v>
      </c>
      <c r="D359" s="250"/>
      <c r="E359" s="258">
        <v>61.43</v>
      </c>
      <c r="F359" s="258">
        <v>0</v>
      </c>
      <c r="G359" s="276">
        <f>Tabla3[[#This Row],[INGRESOS]]-Tabla3[[#This Row],[EGRESOS]]</f>
        <v>-61.43</v>
      </c>
      <c r="H359" s="137">
        <v>-2264311.83</v>
      </c>
      <c r="I359" s="119">
        <v>1140</v>
      </c>
      <c r="J359" s="99">
        <f>Tabla3[[#This Row],[EGRESOS]]/Tabla3[[#This Row],[TC]]</f>
        <v>5.3885964912280704E-2</v>
      </c>
      <c r="K359" s="99">
        <f>Tabla3[[#This Row],[INGRESOS]]/Tabla3[[#This Row],[TC]]</f>
        <v>0</v>
      </c>
      <c r="L359" s="7" t="s">
        <v>303</v>
      </c>
      <c r="M359" s="7" t="s">
        <v>304</v>
      </c>
      <c r="N359" s="7" t="s">
        <v>28</v>
      </c>
      <c r="O359" s="7" t="s">
        <v>184</v>
      </c>
      <c r="P359" s="7" t="s">
        <v>187</v>
      </c>
      <c r="Q359" s="7" t="s">
        <v>188</v>
      </c>
      <c r="R359" s="7" t="s">
        <v>317</v>
      </c>
      <c r="S359" s="7"/>
      <c r="T359" s="7"/>
      <c r="U359" s="7" t="s">
        <v>261</v>
      </c>
      <c r="V359" s="7"/>
      <c r="W359" s="8" t="s">
        <v>306</v>
      </c>
      <c r="X359" s="7" t="s">
        <v>98</v>
      </c>
      <c r="Y359" s="7" t="s">
        <v>23</v>
      </c>
    </row>
    <row r="360" spans="1:25" hidden="1" x14ac:dyDescent="0.25">
      <c r="A360" s="369" t="s">
        <v>183</v>
      </c>
      <c r="B360" s="370">
        <v>45673</v>
      </c>
      <c r="C360" s="371" t="s">
        <v>440</v>
      </c>
      <c r="D360" s="371"/>
      <c r="E360" s="372">
        <v>10239.15</v>
      </c>
      <c r="F360" s="372">
        <v>0</v>
      </c>
      <c r="G360" s="373">
        <f>Tabla3[[#This Row],[INGRESOS]]-Tabla3[[#This Row],[EGRESOS]]</f>
        <v>-10239.15</v>
      </c>
      <c r="H360" s="374">
        <v>-2264250.4</v>
      </c>
      <c r="I360" s="372">
        <v>1140</v>
      </c>
      <c r="J360" s="375">
        <f>Tabla3[[#This Row],[EGRESOS]]/Tabla3[[#This Row],[TC]]</f>
        <v>8.9817105263157888</v>
      </c>
      <c r="K360" s="375">
        <f>Tabla3[[#This Row],[INGRESOS]]/Tabla3[[#This Row],[TC]]</f>
        <v>0</v>
      </c>
      <c r="L360" s="371" t="s">
        <v>303</v>
      </c>
      <c r="M360" s="371" t="s">
        <v>304</v>
      </c>
      <c r="N360" s="371" t="s">
        <v>28</v>
      </c>
      <c r="O360" s="371" t="s">
        <v>204</v>
      </c>
      <c r="P360" s="371" t="s">
        <v>210</v>
      </c>
      <c r="Q360" s="371" t="s">
        <v>213</v>
      </c>
      <c r="R360" s="371" t="s">
        <v>447</v>
      </c>
      <c r="S360" s="371" t="s">
        <v>448</v>
      </c>
      <c r="T360" s="371" t="s">
        <v>449</v>
      </c>
      <c r="U360" s="371" t="s">
        <v>258</v>
      </c>
      <c r="V360" s="371"/>
      <c r="W360" s="371" t="s">
        <v>919</v>
      </c>
      <c r="X360" s="371" t="s">
        <v>54</v>
      </c>
      <c r="Y360" s="371" t="s">
        <v>23</v>
      </c>
    </row>
    <row r="361" spans="1:25" hidden="1" x14ac:dyDescent="0.25">
      <c r="A361" s="256" t="s">
        <v>225</v>
      </c>
      <c r="B361" s="257">
        <v>45691</v>
      </c>
      <c r="C361" s="250" t="s">
        <v>437</v>
      </c>
      <c r="D361" s="250"/>
      <c r="E361" s="258">
        <v>42000</v>
      </c>
      <c r="F361" s="258">
        <v>0</v>
      </c>
      <c r="G361" s="276">
        <f>Tabla3[[#This Row],[INGRESOS]]-Tabla3[[#This Row],[EGRESOS]]</f>
        <v>-42000</v>
      </c>
      <c r="H361" s="137">
        <v>-2306311.83</v>
      </c>
      <c r="I361" s="119">
        <v>1140</v>
      </c>
      <c r="J361" s="99">
        <f>Tabla3[[#This Row],[EGRESOS]]/Tabla3[[#This Row],[TC]]</f>
        <v>36.842105263157897</v>
      </c>
      <c r="K361" s="99">
        <f>Tabla3[[#This Row],[INGRESOS]]/Tabla3[[#This Row],[TC]]</f>
        <v>0</v>
      </c>
      <c r="L361" s="7" t="s">
        <v>303</v>
      </c>
      <c r="M361" s="7" t="s">
        <v>304</v>
      </c>
      <c r="N361" s="7" t="s">
        <v>28</v>
      </c>
      <c r="O361" s="7" t="s">
        <v>184</v>
      </c>
      <c r="P361" s="8" t="s">
        <v>185</v>
      </c>
      <c r="Q361" s="7" t="s">
        <v>186</v>
      </c>
      <c r="R361" s="7"/>
      <c r="S361" s="7"/>
      <c r="T361" s="7"/>
      <c r="U361" s="7" t="s">
        <v>261</v>
      </c>
      <c r="V361" s="7"/>
      <c r="W361" s="8" t="s">
        <v>306</v>
      </c>
      <c r="X361" s="7" t="s">
        <v>98</v>
      </c>
      <c r="Y361" s="7" t="s">
        <v>23</v>
      </c>
    </row>
    <row r="362" spans="1:25" hidden="1" x14ac:dyDescent="0.25">
      <c r="A362" s="256" t="s">
        <v>225</v>
      </c>
      <c r="B362" s="257">
        <v>45691</v>
      </c>
      <c r="C362" s="250" t="s">
        <v>232</v>
      </c>
      <c r="D362" s="250"/>
      <c r="E362" s="258">
        <v>8820</v>
      </c>
      <c r="F362" s="258">
        <v>0</v>
      </c>
      <c r="G362" s="276">
        <f>Tabla3[[#This Row],[INGRESOS]]-Tabla3[[#This Row],[EGRESOS]]</f>
        <v>-8820</v>
      </c>
      <c r="H362" s="137">
        <v>-2315131.83</v>
      </c>
      <c r="I362" s="119">
        <v>1140</v>
      </c>
      <c r="J362" s="99">
        <f>Tabla3[[#This Row],[EGRESOS]]/Tabla3[[#This Row],[TC]]</f>
        <v>7.7368421052631575</v>
      </c>
      <c r="K362" s="99">
        <f>Tabla3[[#This Row],[INGRESOS]]/Tabla3[[#This Row],[TC]]</f>
        <v>0</v>
      </c>
      <c r="L362" s="7" t="s">
        <v>303</v>
      </c>
      <c r="M362" s="7" t="s">
        <v>304</v>
      </c>
      <c r="N362" s="7" t="s">
        <v>28</v>
      </c>
      <c r="O362" s="7" t="s">
        <v>184</v>
      </c>
      <c r="P362" s="8" t="s">
        <v>187</v>
      </c>
      <c r="Q362" s="7" t="s">
        <v>188</v>
      </c>
      <c r="R362" s="7" t="s">
        <v>308</v>
      </c>
      <c r="S362" s="7"/>
      <c r="T362" s="7"/>
      <c r="U362" s="7" t="s">
        <v>261</v>
      </c>
      <c r="V362" s="7"/>
      <c r="W362" s="8" t="s">
        <v>306</v>
      </c>
      <c r="X362" s="7" t="s">
        <v>98</v>
      </c>
      <c r="Y362" s="7" t="s">
        <v>23</v>
      </c>
    </row>
    <row r="363" spans="1:25" hidden="1" x14ac:dyDescent="0.25">
      <c r="A363" s="256" t="s">
        <v>225</v>
      </c>
      <c r="B363" s="257">
        <v>45691</v>
      </c>
      <c r="C363" s="250" t="s">
        <v>436</v>
      </c>
      <c r="D363" s="250"/>
      <c r="E363" s="258">
        <v>1260</v>
      </c>
      <c r="F363" s="258">
        <v>0</v>
      </c>
      <c r="G363" s="276">
        <f>Tabla3[[#This Row],[INGRESOS]]-Tabla3[[#This Row],[EGRESOS]]</f>
        <v>-1260</v>
      </c>
      <c r="H363" s="137">
        <v>-2316391.83</v>
      </c>
      <c r="I363" s="119">
        <v>1140</v>
      </c>
      <c r="J363" s="99">
        <f>Tabla3[[#This Row],[EGRESOS]]/Tabla3[[#This Row],[TC]]</f>
        <v>1.1052631578947369</v>
      </c>
      <c r="K363" s="99">
        <f>Tabla3[[#This Row],[INGRESOS]]/Tabla3[[#This Row],[TC]]</f>
        <v>0</v>
      </c>
      <c r="L363" s="7" t="s">
        <v>303</v>
      </c>
      <c r="M363" s="7" t="s">
        <v>304</v>
      </c>
      <c r="N363" s="7" t="s">
        <v>28</v>
      </c>
      <c r="O363" s="7" t="s">
        <v>184</v>
      </c>
      <c r="P363" s="8" t="s">
        <v>187</v>
      </c>
      <c r="Q363" s="7" t="s">
        <v>188</v>
      </c>
      <c r="R363" s="7" t="s">
        <v>317</v>
      </c>
      <c r="S363" s="7"/>
      <c r="T363" s="7"/>
      <c r="U363" s="7" t="s">
        <v>261</v>
      </c>
      <c r="V363" s="7"/>
      <c r="W363" s="8" t="s">
        <v>306</v>
      </c>
      <c r="X363" s="7" t="s">
        <v>98</v>
      </c>
      <c r="Y363" s="7" t="s">
        <v>23</v>
      </c>
    </row>
    <row r="364" spans="1:25" hidden="1" x14ac:dyDescent="0.25">
      <c r="A364" s="256" t="s">
        <v>225</v>
      </c>
      <c r="B364" s="257">
        <v>45691</v>
      </c>
      <c r="C364" s="250" t="s">
        <v>438</v>
      </c>
      <c r="D364" s="250"/>
      <c r="E364" s="258">
        <v>312.48</v>
      </c>
      <c r="F364" s="258">
        <v>0</v>
      </c>
      <c r="G364" s="276">
        <f>Tabla3[[#This Row],[INGRESOS]]-Tabla3[[#This Row],[EGRESOS]]</f>
        <v>-312.48</v>
      </c>
      <c r="H364" s="137">
        <v>-2316704.31</v>
      </c>
      <c r="I364" s="119">
        <v>1140</v>
      </c>
      <c r="J364" s="99">
        <f>Tabla3[[#This Row],[EGRESOS]]/Tabla3[[#This Row],[TC]]</f>
        <v>0.27410526315789474</v>
      </c>
      <c r="K364" s="99">
        <f>Tabla3[[#This Row],[INGRESOS]]/Tabla3[[#This Row],[TC]]</f>
        <v>0</v>
      </c>
      <c r="L364" s="7" t="s">
        <v>303</v>
      </c>
      <c r="M364" s="7" t="s">
        <v>304</v>
      </c>
      <c r="N364" s="7" t="s">
        <v>28</v>
      </c>
      <c r="O364" s="7" t="s">
        <v>184</v>
      </c>
      <c r="P364" s="8" t="s">
        <v>187</v>
      </c>
      <c r="Q364" s="7" t="s">
        <v>188</v>
      </c>
      <c r="R364" s="7" t="s">
        <v>308</v>
      </c>
      <c r="S364" s="7"/>
      <c r="T364" s="7"/>
      <c r="U364" s="7" t="s">
        <v>261</v>
      </c>
      <c r="V364" s="7"/>
      <c r="W364" s="8" t="s">
        <v>306</v>
      </c>
      <c r="X364" s="7" t="s">
        <v>98</v>
      </c>
      <c r="Y364" s="7" t="s">
        <v>23</v>
      </c>
    </row>
    <row r="365" spans="1:25" hidden="1" x14ac:dyDescent="0.25">
      <c r="A365" s="256" t="s">
        <v>225</v>
      </c>
      <c r="B365" s="257">
        <v>45691</v>
      </c>
      <c r="C365" s="250" t="s">
        <v>439</v>
      </c>
      <c r="D365" s="250"/>
      <c r="E365" s="258">
        <v>59623.12</v>
      </c>
      <c r="F365" s="258">
        <v>0</v>
      </c>
      <c r="G365" s="276">
        <f>Tabla3[[#This Row],[INGRESOS]]-Tabla3[[#This Row],[EGRESOS]]</f>
        <v>-59623.12</v>
      </c>
      <c r="H365" s="137">
        <v>-2376327.4300000002</v>
      </c>
      <c r="I365" s="119">
        <v>1140</v>
      </c>
      <c r="J365" s="99">
        <f>Tabla3[[#This Row],[EGRESOS]]/Tabla3[[#This Row],[TC]]</f>
        <v>52.300982456140353</v>
      </c>
      <c r="K365" s="99">
        <f>Tabla3[[#This Row],[INGRESOS]]/Tabla3[[#This Row],[TC]]</f>
        <v>0</v>
      </c>
      <c r="L365" s="7" t="s">
        <v>303</v>
      </c>
      <c r="M365" s="7" t="s">
        <v>304</v>
      </c>
      <c r="N365" s="7" t="s">
        <v>28</v>
      </c>
      <c r="O365" s="7" t="s">
        <v>184</v>
      </c>
      <c r="P365" s="8" t="s">
        <v>189</v>
      </c>
      <c r="Q365" s="7" t="s">
        <v>190</v>
      </c>
      <c r="R365" s="7" t="s">
        <v>317</v>
      </c>
      <c r="S365" s="7"/>
      <c r="T365" s="7"/>
      <c r="U365" s="7" t="s">
        <v>261</v>
      </c>
      <c r="V365" s="7"/>
      <c r="W365" s="8" t="s">
        <v>306</v>
      </c>
      <c r="X365" s="7" t="s">
        <v>98</v>
      </c>
      <c r="Y365" s="7" t="s">
        <v>23</v>
      </c>
    </row>
    <row r="366" spans="1:25" hidden="1" x14ac:dyDescent="0.25">
      <c r="A366" s="256" t="s">
        <v>225</v>
      </c>
      <c r="B366" s="257">
        <v>45691</v>
      </c>
      <c r="C366" s="250" t="s">
        <v>381</v>
      </c>
      <c r="D366" s="250"/>
      <c r="E366" s="258">
        <v>1430.95</v>
      </c>
      <c r="F366" s="258">
        <v>0</v>
      </c>
      <c r="G366" s="276">
        <f>Tabla3[[#This Row],[INGRESOS]]-Tabla3[[#This Row],[EGRESOS]]</f>
        <v>-1430.95</v>
      </c>
      <c r="H366" s="137">
        <v>-2377758.38</v>
      </c>
      <c r="I366" s="119">
        <v>1140</v>
      </c>
      <c r="J366" s="99">
        <f>Tabla3[[#This Row],[EGRESOS]]/Tabla3[[#This Row],[TC]]</f>
        <v>1.2552192982456141</v>
      </c>
      <c r="K366" s="99">
        <f>Tabla3[[#This Row],[INGRESOS]]/Tabla3[[#This Row],[TC]]</f>
        <v>0</v>
      </c>
      <c r="L366" s="7" t="s">
        <v>303</v>
      </c>
      <c r="M366" s="7" t="s">
        <v>304</v>
      </c>
      <c r="N366" s="7" t="s">
        <v>28</v>
      </c>
      <c r="O366" s="7" t="s">
        <v>184</v>
      </c>
      <c r="P366" s="8" t="s">
        <v>187</v>
      </c>
      <c r="Q366" s="7" t="s">
        <v>188</v>
      </c>
      <c r="R366" s="7" t="s">
        <v>339</v>
      </c>
      <c r="S366" s="7"/>
      <c r="T366" s="7"/>
      <c r="U366" s="7" t="s">
        <v>261</v>
      </c>
      <c r="V366" s="7"/>
      <c r="W366" s="8" t="s">
        <v>306</v>
      </c>
      <c r="X366" s="7" t="s">
        <v>98</v>
      </c>
      <c r="Y366" s="7" t="s">
        <v>23</v>
      </c>
    </row>
    <row r="367" spans="1:25" hidden="1" x14ac:dyDescent="0.25">
      <c r="A367" s="256" t="s">
        <v>225</v>
      </c>
      <c r="B367" s="257">
        <v>45691</v>
      </c>
      <c r="C367" s="250" t="s">
        <v>232</v>
      </c>
      <c r="D367" s="250"/>
      <c r="E367" s="258">
        <v>6260.43</v>
      </c>
      <c r="F367" s="258">
        <v>0</v>
      </c>
      <c r="G367" s="276">
        <f>Tabla3[[#This Row],[INGRESOS]]-Tabla3[[#This Row],[EGRESOS]]</f>
        <v>-6260.43</v>
      </c>
      <c r="H367" s="276">
        <v>-2384018.81</v>
      </c>
      <c r="I367" s="119">
        <v>1140</v>
      </c>
      <c r="J367" s="99">
        <f>Tabla3[[#This Row],[EGRESOS]]/Tabla3[[#This Row],[TC]]</f>
        <v>5.4916052631578953</v>
      </c>
      <c r="K367" s="99">
        <f>Tabla3[[#This Row],[INGRESOS]]/Tabla3[[#This Row],[TC]]</f>
        <v>0</v>
      </c>
      <c r="L367" s="7" t="s">
        <v>303</v>
      </c>
      <c r="M367" s="7" t="s">
        <v>304</v>
      </c>
      <c r="N367" s="7" t="s">
        <v>28</v>
      </c>
      <c r="O367" s="7" t="s">
        <v>184</v>
      </c>
      <c r="P367" s="8" t="s">
        <v>187</v>
      </c>
      <c r="Q367" s="7" t="s">
        <v>188</v>
      </c>
      <c r="R367" s="7" t="s">
        <v>308</v>
      </c>
      <c r="S367" s="7"/>
      <c r="T367" s="7"/>
      <c r="U367" s="7" t="s">
        <v>261</v>
      </c>
      <c r="V367" s="7"/>
      <c r="W367" s="8" t="s">
        <v>306</v>
      </c>
      <c r="X367" s="7" t="s">
        <v>98</v>
      </c>
      <c r="Y367" s="7" t="s">
        <v>23</v>
      </c>
    </row>
    <row r="368" spans="1:25" hidden="1" x14ac:dyDescent="0.25">
      <c r="A368" s="256" t="s">
        <v>225</v>
      </c>
      <c r="B368" s="257">
        <v>45691</v>
      </c>
      <c r="C368" s="250" t="s">
        <v>436</v>
      </c>
      <c r="D368" s="250"/>
      <c r="E368" s="258">
        <v>894.35</v>
      </c>
      <c r="F368" s="258">
        <v>0</v>
      </c>
      <c r="G368" s="276">
        <f>Tabla3[[#This Row],[INGRESOS]]-Tabla3[[#This Row],[EGRESOS]]</f>
        <v>-894.35</v>
      </c>
      <c r="H368" s="276">
        <v>-2384913.16</v>
      </c>
      <c r="I368" s="119">
        <v>1140</v>
      </c>
      <c r="J368" s="99">
        <f>Tabla3[[#This Row],[EGRESOS]]/Tabla3[[#This Row],[TC]]</f>
        <v>0.78451754385964911</v>
      </c>
      <c r="K368" s="99">
        <f>Tabla3[[#This Row],[INGRESOS]]/Tabla3[[#This Row],[TC]]</f>
        <v>0</v>
      </c>
      <c r="L368" s="7" t="s">
        <v>303</v>
      </c>
      <c r="M368" s="7" t="s">
        <v>304</v>
      </c>
      <c r="N368" s="7" t="s">
        <v>28</v>
      </c>
      <c r="O368" s="7" t="s">
        <v>184</v>
      </c>
      <c r="P368" s="8" t="s">
        <v>187</v>
      </c>
      <c r="Q368" s="7" t="s">
        <v>188</v>
      </c>
      <c r="R368" s="7" t="s">
        <v>334</v>
      </c>
      <c r="S368" s="7"/>
      <c r="T368" s="7"/>
      <c r="U368" s="7" t="s">
        <v>261</v>
      </c>
      <c r="V368" s="7"/>
      <c r="W368" s="8" t="s">
        <v>306</v>
      </c>
      <c r="X368" s="7" t="s">
        <v>98</v>
      </c>
      <c r="Y368" s="7" t="s">
        <v>23</v>
      </c>
    </row>
    <row r="369" spans="1:25" hidden="1" x14ac:dyDescent="0.25">
      <c r="A369" s="256" t="s">
        <v>225</v>
      </c>
      <c r="B369" s="257">
        <v>45691</v>
      </c>
      <c r="C369" s="250" t="s">
        <v>438</v>
      </c>
      <c r="D369" s="250"/>
      <c r="E369" s="258">
        <v>409.25</v>
      </c>
      <c r="F369" s="258">
        <v>0</v>
      </c>
      <c r="G369" s="276">
        <f>Tabla3[[#This Row],[INGRESOS]]-Tabla3[[#This Row],[EGRESOS]]</f>
        <v>-409.25</v>
      </c>
      <c r="H369" s="276">
        <v>-2385322.41</v>
      </c>
      <c r="I369" s="119">
        <v>1140</v>
      </c>
      <c r="J369" s="99">
        <f>Tabla3[[#This Row],[EGRESOS]]/Tabla3[[#This Row],[TC]]</f>
        <v>0.35899122807017542</v>
      </c>
      <c r="K369" s="99">
        <f>Tabla3[[#This Row],[INGRESOS]]/Tabla3[[#This Row],[TC]]</f>
        <v>0</v>
      </c>
      <c r="L369" s="7" t="s">
        <v>303</v>
      </c>
      <c r="M369" s="7" t="s">
        <v>304</v>
      </c>
      <c r="N369" s="7" t="s">
        <v>28</v>
      </c>
      <c r="O369" s="7" t="s">
        <v>184</v>
      </c>
      <c r="P369" s="8" t="s">
        <v>187</v>
      </c>
      <c r="Q369" s="7" t="s">
        <v>188</v>
      </c>
      <c r="R369" s="7" t="s">
        <v>317</v>
      </c>
      <c r="S369" s="7"/>
      <c r="T369" s="7"/>
      <c r="U369" s="7" t="s">
        <v>261</v>
      </c>
      <c r="V369" s="7"/>
      <c r="W369" s="8" t="s">
        <v>306</v>
      </c>
      <c r="X369" s="7" t="s">
        <v>98</v>
      </c>
      <c r="Y369" s="7" t="s">
        <v>23</v>
      </c>
    </row>
    <row r="370" spans="1:25" hidden="1" x14ac:dyDescent="0.25">
      <c r="A370" s="256" t="s">
        <v>225</v>
      </c>
      <c r="B370" s="257">
        <v>45713</v>
      </c>
      <c r="C370" s="250" t="s">
        <v>453</v>
      </c>
      <c r="D370" s="250" t="s">
        <v>450</v>
      </c>
      <c r="E370" s="258">
        <v>1550000</v>
      </c>
      <c r="F370" s="258">
        <v>0</v>
      </c>
      <c r="G370" s="276">
        <f>Tabla3[[#This Row],[INGRESOS]]-Tabla3[[#This Row],[EGRESOS]]</f>
        <v>-1550000</v>
      </c>
      <c r="H370" s="276">
        <v>-3935322.41</v>
      </c>
      <c r="I370" s="119">
        <v>1140</v>
      </c>
      <c r="J370" s="99">
        <f>Tabla3[[#This Row],[EGRESOS]]/Tabla3[[#This Row],[TC]]</f>
        <v>1359.6491228070176</v>
      </c>
      <c r="K370" s="99">
        <f>Tabla3[[#This Row],[INGRESOS]]/Tabla3[[#This Row],[TC]]</f>
        <v>0</v>
      </c>
      <c r="L370" s="7" t="s">
        <v>303</v>
      </c>
      <c r="M370" s="7" t="s">
        <v>304</v>
      </c>
      <c r="N370" s="7" t="s">
        <v>28</v>
      </c>
      <c r="O370" s="7" t="s">
        <v>204</v>
      </c>
      <c r="P370" s="8" t="s">
        <v>205</v>
      </c>
      <c r="Q370" s="7" t="s">
        <v>206</v>
      </c>
      <c r="R370" s="7"/>
      <c r="S370" s="7" t="s">
        <v>401</v>
      </c>
      <c r="T370" s="7"/>
      <c r="U370" s="7" t="s">
        <v>260</v>
      </c>
      <c r="V370" s="7"/>
      <c r="W370" s="8" t="s">
        <v>306</v>
      </c>
      <c r="X370" s="7" t="s">
        <v>49</v>
      </c>
      <c r="Y370" s="7" t="s">
        <v>23</v>
      </c>
    </row>
    <row r="371" spans="1:25" hidden="1" x14ac:dyDescent="0.25">
      <c r="A371" s="256" t="s">
        <v>225</v>
      </c>
      <c r="B371" s="257">
        <v>45713</v>
      </c>
      <c r="C371" s="250" t="s">
        <v>438</v>
      </c>
      <c r="D371" s="250"/>
      <c r="E371" s="258">
        <v>9300</v>
      </c>
      <c r="F371" s="258">
        <v>0</v>
      </c>
      <c r="G371" s="276">
        <f>Tabla3[[#This Row],[INGRESOS]]-Tabla3[[#This Row],[EGRESOS]]</f>
        <v>-9300</v>
      </c>
      <c r="H371" s="276">
        <v>-3944622.41</v>
      </c>
      <c r="I371" s="119">
        <v>1140</v>
      </c>
      <c r="J371" s="99">
        <f>Tabla3[[#This Row],[EGRESOS]]/Tabla3[[#This Row],[TC]]</f>
        <v>8.1578947368421044</v>
      </c>
      <c r="K371" s="99">
        <f>Tabla3[[#This Row],[INGRESOS]]/Tabla3[[#This Row],[TC]]</f>
        <v>0</v>
      </c>
      <c r="L371" s="7" t="s">
        <v>303</v>
      </c>
      <c r="M371" s="7" t="s">
        <v>304</v>
      </c>
      <c r="N371" s="7" t="s">
        <v>28</v>
      </c>
      <c r="O371" s="7" t="s">
        <v>184</v>
      </c>
      <c r="P371" s="8" t="s">
        <v>187</v>
      </c>
      <c r="Q371" s="7" t="s">
        <v>188</v>
      </c>
      <c r="R371" s="7" t="s">
        <v>317</v>
      </c>
      <c r="S371" s="7"/>
      <c r="T371" s="7"/>
      <c r="U371" s="7" t="s">
        <v>261</v>
      </c>
      <c r="V371" s="7"/>
      <c r="W371" s="8" t="s">
        <v>306</v>
      </c>
      <c r="X371" s="7" t="s">
        <v>98</v>
      </c>
      <c r="Y371" s="7" t="s">
        <v>23</v>
      </c>
    </row>
    <row r="372" spans="1:25" hidden="1" x14ac:dyDescent="0.25">
      <c r="A372" s="283" t="s">
        <v>225</v>
      </c>
      <c r="B372" s="260">
        <v>45714</v>
      </c>
      <c r="C372" s="261" t="s">
        <v>446</v>
      </c>
      <c r="D372" s="261"/>
      <c r="E372" s="262">
        <v>1500000</v>
      </c>
      <c r="F372" s="262">
        <v>0</v>
      </c>
      <c r="G372" s="285">
        <f>Tabla3[[#This Row],[INGRESOS]]-Tabla3[[#This Row],[EGRESOS]]</f>
        <v>-1500000</v>
      </c>
      <c r="H372" s="285">
        <v>-5444622.4100000001</v>
      </c>
      <c r="I372" s="135">
        <v>1140</v>
      </c>
      <c r="J372" s="136">
        <f>Tabla3[[#This Row],[EGRESOS]]/Tabla3[[#This Row],[TC]]</f>
        <v>1315.7894736842106</v>
      </c>
      <c r="K372" s="136">
        <f>Tabla3[[#This Row],[INGRESOS]]/Tabla3[[#This Row],[TC]]</f>
        <v>0</v>
      </c>
      <c r="L372" s="8" t="s">
        <v>303</v>
      </c>
      <c r="M372" s="8" t="s">
        <v>304</v>
      </c>
      <c r="N372" s="8" t="s">
        <v>28</v>
      </c>
      <c r="O372" s="8" t="s">
        <v>214</v>
      </c>
      <c r="P372" s="8" t="s">
        <v>216</v>
      </c>
      <c r="Q372" s="8" t="s">
        <v>217</v>
      </c>
      <c r="R372" s="8" t="s">
        <v>451</v>
      </c>
      <c r="S372" s="8"/>
      <c r="T372" s="8"/>
      <c r="U372" s="8" t="s">
        <v>262</v>
      </c>
      <c r="V372" s="8"/>
      <c r="W372" s="8" t="s">
        <v>306</v>
      </c>
      <c r="X372" s="8"/>
      <c r="Y372" s="8"/>
    </row>
    <row r="373" spans="1:25" hidden="1" x14ac:dyDescent="0.25">
      <c r="A373" s="283" t="s">
        <v>235</v>
      </c>
      <c r="B373" s="260">
        <v>45721</v>
      </c>
      <c r="C373" s="261" t="s">
        <v>446</v>
      </c>
      <c r="D373" s="261"/>
      <c r="E373" s="262">
        <v>300000</v>
      </c>
      <c r="F373" s="262">
        <v>0</v>
      </c>
      <c r="G373" s="285">
        <f>Tabla3[[#This Row],[INGRESOS]]-Tabla3[[#This Row],[EGRESOS]]</f>
        <v>-300000</v>
      </c>
      <c r="H373" s="285">
        <v>-5744622.4100000001</v>
      </c>
      <c r="I373" s="135">
        <v>1140</v>
      </c>
      <c r="J373" s="136">
        <f>Tabla3[[#This Row],[EGRESOS]]/Tabla3[[#This Row],[TC]]</f>
        <v>263.15789473684208</v>
      </c>
      <c r="K373" s="136">
        <f>Tabla3[[#This Row],[INGRESOS]]/Tabla3[[#This Row],[TC]]</f>
        <v>0</v>
      </c>
      <c r="L373" s="8" t="s">
        <v>303</v>
      </c>
      <c r="M373" s="8" t="s">
        <v>304</v>
      </c>
      <c r="N373" s="8" t="s">
        <v>28</v>
      </c>
      <c r="O373" s="8" t="s">
        <v>214</v>
      </c>
      <c r="P373" s="8" t="s">
        <v>216</v>
      </c>
      <c r="Q373" s="8" t="s">
        <v>217</v>
      </c>
      <c r="R373" s="8" t="s">
        <v>316</v>
      </c>
      <c r="S373" s="8"/>
      <c r="T373" s="8"/>
      <c r="U373" s="8" t="s">
        <v>262</v>
      </c>
      <c r="V373" s="8"/>
      <c r="W373" s="8" t="s">
        <v>306</v>
      </c>
      <c r="X373" s="8"/>
      <c r="Y373" s="8"/>
    </row>
    <row r="374" spans="1:25" hidden="1" x14ac:dyDescent="0.25">
      <c r="A374" s="283" t="s">
        <v>235</v>
      </c>
      <c r="B374" s="260">
        <v>45721</v>
      </c>
      <c r="C374" s="261" t="s">
        <v>446</v>
      </c>
      <c r="D374" s="261"/>
      <c r="E374" s="262">
        <v>1400000</v>
      </c>
      <c r="F374" s="262">
        <v>0</v>
      </c>
      <c r="G374" s="285">
        <f>Tabla3[[#This Row],[INGRESOS]]-Tabla3[[#This Row],[EGRESOS]]</f>
        <v>-1400000</v>
      </c>
      <c r="H374" s="285">
        <v>-7144622.4100000001</v>
      </c>
      <c r="I374" s="135">
        <v>1140</v>
      </c>
      <c r="J374" s="136">
        <f>Tabla3[[#This Row],[EGRESOS]]/Tabla3[[#This Row],[TC]]</f>
        <v>1228.0701754385964</v>
      </c>
      <c r="K374" s="136">
        <f>Tabla3[[#This Row],[INGRESOS]]/Tabla3[[#This Row],[TC]]</f>
        <v>0</v>
      </c>
      <c r="L374" s="8" t="s">
        <v>303</v>
      </c>
      <c r="M374" s="8" t="s">
        <v>304</v>
      </c>
      <c r="N374" s="8" t="s">
        <v>28</v>
      </c>
      <c r="O374" s="8" t="s">
        <v>214</v>
      </c>
      <c r="P374" s="8" t="s">
        <v>216</v>
      </c>
      <c r="Q374" s="8" t="s">
        <v>217</v>
      </c>
      <c r="R374" s="8" t="s">
        <v>316</v>
      </c>
      <c r="S374" s="8"/>
      <c r="T374" s="8"/>
      <c r="U374" s="8" t="s">
        <v>262</v>
      </c>
      <c r="V374" s="8"/>
      <c r="W374" s="8" t="s">
        <v>306</v>
      </c>
      <c r="X374" s="8"/>
      <c r="Y374" s="8"/>
    </row>
    <row r="375" spans="1:25" hidden="1" x14ac:dyDescent="0.25">
      <c r="A375" s="283" t="s">
        <v>235</v>
      </c>
      <c r="B375" s="260">
        <v>45721</v>
      </c>
      <c r="C375" s="261" t="s">
        <v>437</v>
      </c>
      <c r="D375" s="261"/>
      <c r="E375" s="262">
        <v>42000</v>
      </c>
      <c r="F375" s="262">
        <v>0</v>
      </c>
      <c r="G375" s="285">
        <f>Tabla3[[#This Row],[INGRESOS]]-Tabla3[[#This Row],[EGRESOS]]</f>
        <v>-42000</v>
      </c>
      <c r="H375" s="285">
        <v>-7186622.4100000001</v>
      </c>
      <c r="I375" s="135">
        <v>1140</v>
      </c>
      <c r="J375" s="136">
        <f>Tabla3[[#This Row],[EGRESOS]]/Tabla3[[#This Row],[TC]]</f>
        <v>36.842105263157897</v>
      </c>
      <c r="K375" s="136">
        <f>Tabla3[[#This Row],[INGRESOS]]/Tabla3[[#This Row],[TC]]</f>
        <v>0</v>
      </c>
      <c r="L375" s="8" t="s">
        <v>303</v>
      </c>
      <c r="M375" s="8" t="s">
        <v>304</v>
      </c>
      <c r="N375" s="8" t="s">
        <v>28</v>
      </c>
      <c r="O375" s="8" t="s">
        <v>184</v>
      </c>
      <c r="P375" s="8" t="s">
        <v>185</v>
      </c>
      <c r="Q375" s="8" t="s">
        <v>186</v>
      </c>
      <c r="R375" s="8"/>
      <c r="S375" s="8"/>
      <c r="T375" s="8"/>
      <c r="U375" s="8" t="s">
        <v>261</v>
      </c>
      <c r="V375" s="8"/>
      <c r="W375" s="8" t="s">
        <v>306</v>
      </c>
      <c r="X375" s="8" t="s">
        <v>98</v>
      </c>
      <c r="Y375" s="8" t="s">
        <v>23</v>
      </c>
    </row>
    <row r="376" spans="1:25" hidden="1" x14ac:dyDescent="0.25">
      <c r="A376" s="283" t="s">
        <v>235</v>
      </c>
      <c r="B376" s="260">
        <v>45721</v>
      </c>
      <c r="C376" s="261" t="s">
        <v>232</v>
      </c>
      <c r="D376" s="261"/>
      <c r="E376" s="262">
        <v>8820</v>
      </c>
      <c r="F376" s="262">
        <v>0</v>
      </c>
      <c r="G376" s="285">
        <f>Tabla3[[#This Row],[INGRESOS]]-Tabla3[[#This Row],[EGRESOS]]</f>
        <v>-8820</v>
      </c>
      <c r="H376" s="285">
        <v>-7195442.4100000001</v>
      </c>
      <c r="I376" s="135">
        <v>1140</v>
      </c>
      <c r="J376" s="136">
        <f>Tabla3[[#This Row],[EGRESOS]]/Tabla3[[#This Row],[TC]]</f>
        <v>7.7368421052631575</v>
      </c>
      <c r="K376" s="136">
        <f>Tabla3[[#This Row],[INGRESOS]]/Tabla3[[#This Row],[TC]]</f>
        <v>0</v>
      </c>
      <c r="L376" s="8" t="s">
        <v>303</v>
      </c>
      <c r="M376" s="8" t="s">
        <v>304</v>
      </c>
      <c r="N376" s="8" t="s">
        <v>28</v>
      </c>
      <c r="O376" s="8" t="s">
        <v>184</v>
      </c>
      <c r="P376" s="8" t="s">
        <v>187</v>
      </c>
      <c r="Q376" s="8" t="s">
        <v>188</v>
      </c>
      <c r="R376" s="8" t="s">
        <v>232</v>
      </c>
      <c r="S376" s="8"/>
      <c r="T376" s="8"/>
      <c r="U376" s="8" t="s">
        <v>261</v>
      </c>
      <c r="V376" s="8"/>
      <c r="W376" s="8" t="s">
        <v>306</v>
      </c>
      <c r="X376" s="8" t="s">
        <v>98</v>
      </c>
      <c r="Y376" s="8" t="s">
        <v>23</v>
      </c>
    </row>
    <row r="377" spans="1:25" hidden="1" x14ac:dyDescent="0.25">
      <c r="A377" s="283" t="s">
        <v>235</v>
      </c>
      <c r="B377" s="260">
        <v>45721</v>
      </c>
      <c r="C377" s="261" t="s">
        <v>436</v>
      </c>
      <c r="D377" s="261"/>
      <c r="E377" s="262">
        <v>1260</v>
      </c>
      <c r="F377" s="262">
        <v>0</v>
      </c>
      <c r="G377" s="285">
        <f>Tabla3[[#This Row],[INGRESOS]]-Tabla3[[#This Row],[EGRESOS]]</f>
        <v>-1260</v>
      </c>
      <c r="H377" s="285">
        <v>-7196702.4100000001</v>
      </c>
      <c r="I377" s="135">
        <v>1140</v>
      </c>
      <c r="J377" s="136">
        <f>Tabla3[[#This Row],[EGRESOS]]/Tabla3[[#This Row],[TC]]</f>
        <v>1.1052631578947369</v>
      </c>
      <c r="K377" s="136">
        <f>Tabla3[[#This Row],[INGRESOS]]/Tabla3[[#This Row],[TC]]</f>
        <v>0</v>
      </c>
      <c r="L377" s="8" t="s">
        <v>303</v>
      </c>
      <c r="M377" s="8" t="s">
        <v>304</v>
      </c>
      <c r="N377" s="8" t="s">
        <v>28</v>
      </c>
      <c r="O377" s="8" t="s">
        <v>184</v>
      </c>
      <c r="P377" s="8" t="s">
        <v>187</v>
      </c>
      <c r="Q377" s="8" t="s">
        <v>188</v>
      </c>
      <c r="R377" s="8" t="s">
        <v>334</v>
      </c>
      <c r="S377" s="8"/>
      <c r="T377" s="8"/>
      <c r="U377" s="8" t="s">
        <v>261</v>
      </c>
      <c r="V377" s="8"/>
      <c r="W377" s="8" t="s">
        <v>306</v>
      </c>
      <c r="X377" s="8" t="s">
        <v>98</v>
      </c>
      <c r="Y377" s="8" t="s">
        <v>23</v>
      </c>
    </row>
    <row r="378" spans="1:25" hidden="1" x14ac:dyDescent="0.25">
      <c r="A378" s="283" t="s">
        <v>235</v>
      </c>
      <c r="B378" s="260">
        <v>45721</v>
      </c>
      <c r="C378" s="261" t="s">
        <v>452</v>
      </c>
      <c r="D378" s="261"/>
      <c r="E378" s="262">
        <v>1100</v>
      </c>
      <c r="F378" s="262">
        <v>0</v>
      </c>
      <c r="G378" s="285">
        <f>Tabla3[[#This Row],[INGRESOS]]-Tabla3[[#This Row],[EGRESOS]]</f>
        <v>-1100</v>
      </c>
      <c r="H378" s="285">
        <v>-7197802.4100000001</v>
      </c>
      <c r="I378" s="135">
        <v>1140</v>
      </c>
      <c r="J378" s="136">
        <f>Tabla3[[#This Row],[EGRESOS]]/Tabla3[[#This Row],[TC]]</f>
        <v>0.96491228070175439</v>
      </c>
      <c r="K378" s="136">
        <f>Tabla3[[#This Row],[INGRESOS]]/Tabla3[[#This Row],[TC]]</f>
        <v>0</v>
      </c>
      <c r="L378" s="8" t="s">
        <v>303</v>
      </c>
      <c r="M378" s="8" t="s">
        <v>304</v>
      </c>
      <c r="N378" s="8" t="s">
        <v>28</v>
      </c>
      <c r="O378" s="8" t="s">
        <v>184</v>
      </c>
      <c r="P378" s="8" t="s">
        <v>185</v>
      </c>
      <c r="Q378" s="8" t="s">
        <v>186</v>
      </c>
      <c r="R378" s="8"/>
      <c r="S378" s="8"/>
      <c r="T378" s="8"/>
      <c r="U378" s="8" t="s">
        <v>261</v>
      </c>
      <c r="V378" s="8"/>
      <c r="W378" s="8" t="s">
        <v>306</v>
      </c>
      <c r="X378" s="8" t="s">
        <v>98</v>
      </c>
      <c r="Y378" s="8" t="s">
        <v>23</v>
      </c>
    </row>
    <row r="379" spans="1:25" hidden="1" x14ac:dyDescent="0.25">
      <c r="A379" s="283" t="s">
        <v>235</v>
      </c>
      <c r="B379" s="260">
        <v>45721</v>
      </c>
      <c r="C379" s="261" t="s">
        <v>232</v>
      </c>
      <c r="D379" s="261"/>
      <c r="E379" s="262">
        <v>231</v>
      </c>
      <c r="F379" s="262">
        <v>0</v>
      </c>
      <c r="G379" s="285">
        <f>Tabla3[[#This Row],[INGRESOS]]-Tabla3[[#This Row],[EGRESOS]]</f>
        <v>-231</v>
      </c>
      <c r="H379" s="285">
        <v>-7198033.4100000001</v>
      </c>
      <c r="I379" s="135">
        <v>1140</v>
      </c>
      <c r="J379" s="136">
        <f>Tabla3[[#This Row],[EGRESOS]]/Tabla3[[#This Row],[TC]]</f>
        <v>0.20263157894736841</v>
      </c>
      <c r="K379" s="136">
        <f>Tabla3[[#This Row],[INGRESOS]]/Tabla3[[#This Row],[TC]]</f>
        <v>0</v>
      </c>
      <c r="L379" s="8" t="s">
        <v>303</v>
      </c>
      <c r="M379" s="8" t="s">
        <v>304</v>
      </c>
      <c r="N379" s="8" t="s">
        <v>28</v>
      </c>
      <c r="O379" s="8" t="s">
        <v>184</v>
      </c>
      <c r="P379" s="8" t="s">
        <v>187</v>
      </c>
      <c r="Q379" s="8" t="s">
        <v>188</v>
      </c>
      <c r="R379" s="8" t="s">
        <v>232</v>
      </c>
      <c r="S379" s="8"/>
      <c r="T379" s="8"/>
      <c r="U379" s="8" t="s">
        <v>261</v>
      </c>
      <c r="V379" s="8"/>
      <c r="W379" s="8" t="s">
        <v>306</v>
      </c>
      <c r="X379" s="8" t="s">
        <v>98</v>
      </c>
      <c r="Y379" s="8" t="s">
        <v>23</v>
      </c>
    </row>
    <row r="380" spans="1:25" hidden="1" x14ac:dyDescent="0.25">
      <c r="A380" s="283" t="s">
        <v>235</v>
      </c>
      <c r="B380" s="260">
        <v>45721</v>
      </c>
      <c r="C380" s="261" t="s">
        <v>438</v>
      </c>
      <c r="D380" s="261"/>
      <c r="E380" s="262">
        <v>320.47000000000003</v>
      </c>
      <c r="F380" s="262">
        <v>0</v>
      </c>
      <c r="G380" s="285">
        <f>Tabla3[[#This Row],[INGRESOS]]-Tabla3[[#This Row],[EGRESOS]]</f>
        <v>-320.47000000000003</v>
      </c>
      <c r="H380" s="285">
        <v>-7198353.8799999999</v>
      </c>
      <c r="I380" s="135">
        <v>1140</v>
      </c>
      <c r="J380" s="136">
        <f>Tabla3[[#This Row],[EGRESOS]]/Tabla3[[#This Row],[TC]]</f>
        <v>0.28111403508771932</v>
      </c>
      <c r="K380" s="136">
        <f>Tabla3[[#This Row],[INGRESOS]]/Tabla3[[#This Row],[TC]]</f>
        <v>0</v>
      </c>
      <c r="L380" s="8" t="s">
        <v>303</v>
      </c>
      <c r="M380" s="8" t="s">
        <v>304</v>
      </c>
      <c r="N380" s="8" t="s">
        <v>28</v>
      </c>
      <c r="O380" s="8" t="s">
        <v>184</v>
      </c>
      <c r="P380" s="8" t="s">
        <v>187</v>
      </c>
      <c r="Q380" s="8" t="s">
        <v>188</v>
      </c>
      <c r="R380" s="8" t="s">
        <v>317</v>
      </c>
      <c r="S380" s="8"/>
      <c r="T380" s="8"/>
      <c r="U380" s="8" t="s">
        <v>261</v>
      </c>
      <c r="V380" s="8"/>
      <c r="W380" s="8" t="s">
        <v>306</v>
      </c>
      <c r="X380" s="8" t="s">
        <v>98</v>
      </c>
      <c r="Y380" s="8" t="s">
        <v>23</v>
      </c>
    </row>
    <row r="381" spans="1:25" hidden="1" x14ac:dyDescent="0.25">
      <c r="A381" s="283" t="s">
        <v>235</v>
      </c>
      <c r="B381" s="260">
        <v>45721</v>
      </c>
      <c r="C381" s="261" t="s">
        <v>439</v>
      </c>
      <c r="D381" s="261"/>
      <c r="E381" s="262">
        <v>105868.78</v>
      </c>
      <c r="F381" s="262">
        <v>0</v>
      </c>
      <c r="G381" s="285">
        <f>Tabla3[[#This Row],[INGRESOS]]-Tabla3[[#This Row],[EGRESOS]]</f>
        <v>-105868.78</v>
      </c>
      <c r="H381" s="285">
        <v>-7304222.6600000001</v>
      </c>
      <c r="I381" s="135">
        <v>1140</v>
      </c>
      <c r="J381" s="136">
        <f>Tabla3[[#This Row],[EGRESOS]]/Tabla3[[#This Row],[TC]]</f>
        <v>92.867350877192976</v>
      </c>
      <c r="K381" s="136">
        <f>Tabla3[[#This Row],[INGRESOS]]/Tabla3[[#This Row],[TC]]</f>
        <v>0</v>
      </c>
      <c r="L381" s="8" t="s">
        <v>303</v>
      </c>
      <c r="M381" s="8" t="s">
        <v>304</v>
      </c>
      <c r="N381" s="8" t="s">
        <v>28</v>
      </c>
      <c r="O381" s="8" t="s">
        <v>184</v>
      </c>
      <c r="P381" s="8" t="s">
        <v>189</v>
      </c>
      <c r="Q381" s="8" t="s">
        <v>190</v>
      </c>
      <c r="R381" s="8"/>
      <c r="S381" s="8"/>
      <c r="T381" s="8"/>
      <c r="U381" s="8" t="s">
        <v>261</v>
      </c>
      <c r="V381" s="8"/>
      <c r="W381" s="8" t="s">
        <v>306</v>
      </c>
      <c r="X381" s="8" t="s">
        <v>98</v>
      </c>
      <c r="Y381" s="8" t="s">
        <v>23</v>
      </c>
    </row>
    <row r="382" spans="1:25" hidden="1" x14ac:dyDescent="0.25">
      <c r="A382" s="283" t="s">
        <v>235</v>
      </c>
      <c r="B382" s="260">
        <v>45721</v>
      </c>
      <c r="C382" s="261" t="s">
        <v>381</v>
      </c>
      <c r="D382" s="261"/>
      <c r="E382" s="262">
        <v>2540.85</v>
      </c>
      <c r="F382" s="262">
        <v>0</v>
      </c>
      <c r="G382" s="285">
        <f>Tabla3[[#This Row],[INGRESOS]]-Tabla3[[#This Row],[EGRESOS]]</f>
        <v>-2540.85</v>
      </c>
      <c r="H382" s="285">
        <v>-7306763.5099999998</v>
      </c>
      <c r="I382" s="135">
        <v>1140</v>
      </c>
      <c r="J382" s="136">
        <f>Tabla3[[#This Row],[EGRESOS]]/Tabla3[[#This Row],[TC]]</f>
        <v>2.2288157894736842</v>
      </c>
      <c r="K382" s="136">
        <f>Tabla3[[#This Row],[INGRESOS]]/Tabla3[[#This Row],[TC]]</f>
        <v>0</v>
      </c>
      <c r="L382" s="8" t="s">
        <v>303</v>
      </c>
      <c r="M382" s="8" t="s">
        <v>304</v>
      </c>
      <c r="N382" s="8" t="s">
        <v>28</v>
      </c>
      <c r="O382" s="8" t="s">
        <v>184</v>
      </c>
      <c r="P382" s="8" t="s">
        <v>187</v>
      </c>
      <c r="Q382" s="8" t="s">
        <v>188</v>
      </c>
      <c r="R382" s="8" t="s">
        <v>339</v>
      </c>
      <c r="S382" s="8"/>
      <c r="T382" s="8"/>
      <c r="U382" s="8" t="s">
        <v>261</v>
      </c>
      <c r="V382" s="8"/>
      <c r="W382" s="8" t="s">
        <v>306</v>
      </c>
      <c r="X382" s="8" t="s">
        <v>98</v>
      </c>
      <c r="Y382" s="8" t="s">
        <v>23</v>
      </c>
    </row>
    <row r="383" spans="1:25" hidden="1" x14ac:dyDescent="0.25">
      <c r="A383" s="283" t="s">
        <v>235</v>
      </c>
      <c r="B383" s="260">
        <v>45721</v>
      </c>
      <c r="C383" s="261" t="s">
        <v>232</v>
      </c>
      <c r="D383" s="261"/>
      <c r="E383" s="262">
        <v>11116.22</v>
      </c>
      <c r="F383" s="262">
        <v>0</v>
      </c>
      <c r="G383" s="285">
        <f>Tabla3[[#This Row],[INGRESOS]]-Tabla3[[#This Row],[EGRESOS]]</f>
        <v>-11116.22</v>
      </c>
      <c r="H383" s="285">
        <v>-7317879.7300000004</v>
      </c>
      <c r="I383" s="135">
        <v>1140</v>
      </c>
      <c r="J383" s="136">
        <f>Tabla3[[#This Row],[EGRESOS]]/Tabla3[[#This Row],[TC]]</f>
        <v>9.7510701754385956</v>
      </c>
      <c r="K383" s="136">
        <f>Tabla3[[#This Row],[INGRESOS]]/Tabla3[[#This Row],[TC]]</f>
        <v>0</v>
      </c>
      <c r="L383" s="8" t="s">
        <v>303</v>
      </c>
      <c r="M383" s="8" t="s">
        <v>304</v>
      </c>
      <c r="N383" s="8" t="s">
        <v>28</v>
      </c>
      <c r="O383" s="8" t="s">
        <v>184</v>
      </c>
      <c r="P383" s="8" t="s">
        <v>187</v>
      </c>
      <c r="Q383" s="8" t="s">
        <v>188</v>
      </c>
      <c r="R383" s="8" t="s">
        <v>232</v>
      </c>
      <c r="S383" s="8"/>
      <c r="T383" s="8"/>
      <c r="U383" s="8" t="s">
        <v>261</v>
      </c>
      <c r="V383" s="8"/>
      <c r="W383" s="8" t="s">
        <v>306</v>
      </c>
      <c r="X383" s="8" t="s">
        <v>98</v>
      </c>
      <c r="Y383" s="8" t="s">
        <v>23</v>
      </c>
    </row>
    <row r="384" spans="1:25" hidden="1" x14ac:dyDescent="0.25">
      <c r="A384" s="283" t="s">
        <v>235</v>
      </c>
      <c r="B384" s="260">
        <v>45721</v>
      </c>
      <c r="C384" s="261" t="s">
        <v>436</v>
      </c>
      <c r="D384" s="261"/>
      <c r="E384" s="262">
        <v>1588.03</v>
      </c>
      <c r="F384" s="262">
        <v>0</v>
      </c>
      <c r="G384" s="285">
        <f>Tabla3[[#This Row],[INGRESOS]]-Tabla3[[#This Row],[EGRESOS]]</f>
        <v>-1588.03</v>
      </c>
      <c r="H384" s="285">
        <v>-7319467.7599999998</v>
      </c>
      <c r="I384" s="135">
        <v>1140</v>
      </c>
      <c r="J384" s="136">
        <f>Tabla3[[#This Row],[EGRESOS]]/Tabla3[[#This Row],[TC]]</f>
        <v>1.3930087719298245</v>
      </c>
      <c r="K384" s="136">
        <f>Tabla3[[#This Row],[INGRESOS]]/Tabla3[[#This Row],[TC]]</f>
        <v>0</v>
      </c>
      <c r="L384" s="8" t="s">
        <v>303</v>
      </c>
      <c r="M384" s="8" t="s">
        <v>304</v>
      </c>
      <c r="N384" s="8" t="s">
        <v>28</v>
      </c>
      <c r="O384" s="8" t="s">
        <v>184</v>
      </c>
      <c r="P384" s="8" t="s">
        <v>187</v>
      </c>
      <c r="Q384" s="8" t="s">
        <v>188</v>
      </c>
      <c r="R384" s="8" t="s">
        <v>334</v>
      </c>
      <c r="S384" s="8"/>
      <c r="T384" s="8"/>
      <c r="U384" s="8" t="s">
        <v>261</v>
      </c>
      <c r="V384" s="8"/>
      <c r="W384" s="8" t="s">
        <v>306</v>
      </c>
      <c r="X384" s="8" t="s">
        <v>98</v>
      </c>
      <c r="Y384" s="8" t="s">
        <v>23</v>
      </c>
    </row>
    <row r="385" spans="1:25" hidden="1" x14ac:dyDescent="0.25">
      <c r="A385" s="283" t="s">
        <v>235</v>
      </c>
      <c r="B385" s="260">
        <v>45721</v>
      </c>
      <c r="C385" s="261" t="s">
        <v>438</v>
      </c>
      <c r="D385" s="261"/>
      <c r="E385" s="262">
        <v>726.68</v>
      </c>
      <c r="F385" s="262">
        <v>0</v>
      </c>
      <c r="G385" s="285">
        <f>Tabla3[[#This Row],[INGRESOS]]-Tabla3[[#This Row],[EGRESOS]]</f>
        <v>-726.68</v>
      </c>
      <c r="H385" s="285">
        <v>-7320194.4400000004</v>
      </c>
      <c r="I385" s="135">
        <v>1140</v>
      </c>
      <c r="J385" s="136">
        <f>Tabla3[[#This Row],[EGRESOS]]/Tabla3[[#This Row],[TC]]</f>
        <v>0.63743859649122803</v>
      </c>
      <c r="K385" s="136">
        <f>Tabla3[[#This Row],[INGRESOS]]/Tabla3[[#This Row],[TC]]</f>
        <v>0</v>
      </c>
      <c r="L385" s="8" t="s">
        <v>303</v>
      </c>
      <c r="M385" s="8" t="s">
        <v>304</v>
      </c>
      <c r="N385" s="8" t="s">
        <v>28</v>
      </c>
      <c r="O385" s="8" t="s">
        <v>184</v>
      </c>
      <c r="P385" s="8" t="s">
        <v>187</v>
      </c>
      <c r="Q385" s="8" t="s">
        <v>188</v>
      </c>
      <c r="R385" s="8" t="s">
        <v>317</v>
      </c>
      <c r="S385" s="8"/>
      <c r="T385" s="8"/>
      <c r="U385" s="8" t="s">
        <v>261</v>
      </c>
      <c r="V385" s="8"/>
      <c r="W385" s="8" t="s">
        <v>306</v>
      </c>
      <c r="X385" s="8" t="s">
        <v>98</v>
      </c>
      <c r="Y385" s="8" t="s">
        <v>23</v>
      </c>
    </row>
    <row r="386" spans="1:25" hidden="1" x14ac:dyDescent="0.25">
      <c r="A386" s="283" t="s">
        <v>235</v>
      </c>
      <c r="B386" s="260">
        <v>45723</v>
      </c>
      <c r="C386" s="261" t="s">
        <v>453</v>
      </c>
      <c r="D386" s="261" t="s">
        <v>454</v>
      </c>
      <c r="E386" s="262">
        <v>453725</v>
      </c>
      <c r="F386" s="262">
        <v>0</v>
      </c>
      <c r="G386" s="285">
        <f>Tabla3[[#This Row],[INGRESOS]]-Tabla3[[#This Row],[EGRESOS]]</f>
        <v>-453725</v>
      </c>
      <c r="H386" s="285">
        <v>-7773919.4400000004</v>
      </c>
      <c r="I386" s="135">
        <v>1140</v>
      </c>
      <c r="J386" s="136">
        <f>Tabla3[[#This Row],[EGRESOS]]/Tabla3[[#This Row],[TC]]</f>
        <v>398.00438596491227</v>
      </c>
      <c r="K386" s="136">
        <f>Tabla3[[#This Row],[INGRESOS]]/Tabla3[[#This Row],[TC]]</f>
        <v>0</v>
      </c>
      <c r="L386" s="8" t="s">
        <v>303</v>
      </c>
      <c r="M386" s="8" t="s">
        <v>304</v>
      </c>
      <c r="N386" s="8" t="s">
        <v>28</v>
      </c>
      <c r="O386" s="8" t="s">
        <v>204</v>
      </c>
      <c r="P386" s="8" t="s">
        <v>210</v>
      </c>
      <c r="Q386" s="8" t="s">
        <v>229</v>
      </c>
      <c r="R386" s="8" t="s">
        <v>455</v>
      </c>
      <c r="S386" s="8" t="s">
        <v>456</v>
      </c>
      <c r="T386" s="8"/>
      <c r="U386" s="8" t="s">
        <v>261</v>
      </c>
      <c r="V386" s="8"/>
      <c r="W386" s="8" t="s">
        <v>306</v>
      </c>
      <c r="X386" s="8" t="s">
        <v>98</v>
      </c>
      <c r="Y386" s="8" t="s">
        <v>23</v>
      </c>
    </row>
    <row r="387" spans="1:25" hidden="1" x14ac:dyDescent="0.25">
      <c r="A387" s="283" t="s">
        <v>235</v>
      </c>
      <c r="B387" s="260">
        <v>45723</v>
      </c>
      <c r="C387" s="261" t="s">
        <v>457</v>
      </c>
      <c r="D387" s="261"/>
      <c r="E387" s="262">
        <v>0</v>
      </c>
      <c r="F387" s="262">
        <v>600000</v>
      </c>
      <c r="G387" s="285">
        <f>Tabla3[[#This Row],[INGRESOS]]-Tabla3[[#This Row],[EGRESOS]]</f>
        <v>600000</v>
      </c>
      <c r="H387" s="285">
        <v>-7173919.4400000004</v>
      </c>
      <c r="I387" s="135">
        <v>1140</v>
      </c>
      <c r="J387" s="136">
        <f>Tabla3[[#This Row],[EGRESOS]]/Tabla3[[#This Row],[TC]]</f>
        <v>0</v>
      </c>
      <c r="K387" s="136">
        <f>Tabla3[[#This Row],[INGRESOS]]/Tabla3[[#This Row],[TC]]</f>
        <v>526.31578947368416</v>
      </c>
      <c r="L387" s="8" t="s">
        <v>303</v>
      </c>
      <c r="M387" s="8" t="s">
        <v>304</v>
      </c>
      <c r="N387" s="8" t="s">
        <v>28</v>
      </c>
      <c r="O387" s="8" t="s">
        <v>214</v>
      </c>
      <c r="P387" s="8" t="s">
        <v>216</v>
      </c>
      <c r="Q387" s="8" t="s">
        <v>217</v>
      </c>
      <c r="R387" s="8" t="s">
        <v>664</v>
      </c>
      <c r="S387" s="8"/>
      <c r="T387" s="8"/>
      <c r="U387" s="8" t="s">
        <v>262</v>
      </c>
      <c r="V387" s="8"/>
      <c r="W387" s="8" t="s">
        <v>306</v>
      </c>
      <c r="X387" s="8"/>
      <c r="Y387" s="8"/>
    </row>
    <row r="388" spans="1:25" hidden="1" x14ac:dyDescent="0.25">
      <c r="A388" s="283" t="s">
        <v>235</v>
      </c>
      <c r="B388" s="260">
        <v>45723</v>
      </c>
      <c r="C388" s="261" t="s">
        <v>438</v>
      </c>
      <c r="D388" s="261"/>
      <c r="E388" s="262">
        <v>2722.35</v>
      </c>
      <c r="F388" s="262">
        <v>0</v>
      </c>
      <c r="G388" s="285">
        <f>Tabla3[[#This Row],[INGRESOS]]-Tabla3[[#This Row],[EGRESOS]]</f>
        <v>-2722.35</v>
      </c>
      <c r="H388" s="285">
        <v>-7176641.79</v>
      </c>
      <c r="I388" s="135">
        <v>1140</v>
      </c>
      <c r="J388" s="136">
        <f>Tabla3[[#This Row],[EGRESOS]]/Tabla3[[#This Row],[TC]]</f>
        <v>2.3880263157894737</v>
      </c>
      <c r="K388" s="136">
        <f>Tabla3[[#This Row],[INGRESOS]]/Tabla3[[#This Row],[TC]]</f>
        <v>0</v>
      </c>
      <c r="L388" s="8" t="s">
        <v>303</v>
      </c>
      <c r="M388" s="8" t="s">
        <v>304</v>
      </c>
      <c r="N388" s="8" t="s">
        <v>28</v>
      </c>
      <c r="O388" s="8" t="s">
        <v>184</v>
      </c>
      <c r="P388" s="8" t="s">
        <v>187</v>
      </c>
      <c r="Q388" s="8" t="s">
        <v>188</v>
      </c>
      <c r="R388" s="8" t="s">
        <v>308</v>
      </c>
      <c r="S388" s="8"/>
      <c r="T388" s="8"/>
      <c r="U388" s="8" t="s">
        <v>261</v>
      </c>
      <c r="V388" s="8"/>
      <c r="W388" s="8" t="s">
        <v>306</v>
      </c>
      <c r="X388" s="8" t="s">
        <v>98</v>
      </c>
      <c r="Y388" s="8" t="s">
        <v>23</v>
      </c>
    </row>
    <row r="389" spans="1:25" hidden="1" x14ac:dyDescent="0.25">
      <c r="A389" s="283" t="s">
        <v>235</v>
      </c>
      <c r="B389" s="260">
        <v>45726</v>
      </c>
      <c r="C389" s="261" t="s">
        <v>446</v>
      </c>
      <c r="D389" s="261"/>
      <c r="E389" s="262">
        <v>20000</v>
      </c>
      <c r="F389" s="262">
        <v>0</v>
      </c>
      <c r="G389" s="285">
        <f>Tabla3[[#This Row],[INGRESOS]]-Tabla3[[#This Row],[EGRESOS]]</f>
        <v>-20000</v>
      </c>
      <c r="H389" s="285">
        <v>-7196641.79</v>
      </c>
      <c r="I389" s="135">
        <v>1140</v>
      </c>
      <c r="J389" s="136">
        <f>Tabla3[[#This Row],[EGRESOS]]/Tabla3[[#This Row],[TC]]</f>
        <v>17.543859649122808</v>
      </c>
      <c r="K389" s="136">
        <f>Tabla3[[#This Row],[INGRESOS]]/Tabla3[[#This Row],[TC]]</f>
        <v>0</v>
      </c>
      <c r="L389" s="8" t="s">
        <v>303</v>
      </c>
      <c r="M389" s="8" t="s">
        <v>304</v>
      </c>
      <c r="N389" s="8" t="s">
        <v>28</v>
      </c>
      <c r="O389" s="8" t="s">
        <v>214</v>
      </c>
      <c r="P389" s="8" t="s">
        <v>216</v>
      </c>
      <c r="Q389" s="8" t="s">
        <v>217</v>
      </c>
      <c r="R389" s="8" t="s">
        <v>316</v>
      </c>
      <c r="S389" s="8"/>
      <c r="T389" s="8"/>
      <c r="U389" s="8" t="s">
        <v>262</v>
      </c>
      <c r="V389" s="8"/>
      <c r="W389" s="8" t="s">
        <v>306</v>
      </c>
      <c r="X389" s="8"/>
      <c r="Y389" s="8"/>
    </row>
    <row r="390" spans="1:25" hidden="1" x14ac:dyDescent="0.25">
      <c r="A390" s="283" t="s">
        <v>235</v>
      </c>
      <c r="B390" s="260">
        <v>45727</v>
      </c>
      <c r="C390" s="261" t="s">
        <v>453</v>
      </c>
      <c r="D390" s="261" t="s">
        <v>458</v>
      </c>
      <c r="E390" s="262">
        <v>87437.25</v>
      </c>
      <c r="F390" s="262">
        <v>0</v>
      </c>
      <c r="G390" s="285">
        <f>Tabla3[[#This Row],[INGRESOS]]-Tabla3[[#This Row],[EGRESOS]]</f>
        <v>-87437.25</v>
      </c>
      <c r="H390" s="285">
        <v>-7284079.04</v>
      </c>
      <c r="I390" s="135">
        <v>1140</v>
      </c>
      <c r="J390" s="136">
        <f>Tabla3[[#This Row],[EGRESOS]]/Tabla3[[#This Row],[TC]]</f>
        <v>76.699342105263156</v>
      </c>
      <c r="K390" s="136">
        <f>Tabla3[[#This Row],[INGRESOS]]/Tabla3[[#This Row],[TC]]</f>
        <v>0</v>
      </c>
      <c r="L390" s="8" t="s">
        <v>303</v>
      </c>
      <c r="M390" s="8" t="s">
        <v>304</v>
      </c>
      <c r="N390" s="8" t="s">
        <v>28</v>
      </c>
      <c r="O390" s="8" t="s">
        <v>204</v>
      </c>
      <c r="P390" s="8" t="s">
        <v>210</v>
      </c>
      <c r="Q390" s="8" t="s">
        <v>211</v>
      </c>
      <c r="R390" s="8"/>
      <c r="S390" s="8" t="s">
        <v>459</v>
      </c>
      <c r="T390" s="8" t="s">
        <v>460</v>
      </c>
      <c r="U390" s="8" t="s">
        <v>258</v>
      </c>
      <c r="V390" s="8"/>
      <c r="W390" s="8" t="s">
        <v>306</v>
      </c>
      <c r="X390" s="8" t="s">
        <v>29</v>
      </c>
      <c r="Y390" s="8" t="s">
        <v>23</v>
      </c>
    </row>
    <row r="391" spans="1:25" hidden="1" x14ac:dyDescent="0.25">
      <c r="A391" s="283" t="s">
        <v>235</v>
      </c>
      <c r="B391" s="260">
        <v>45727</v>
      </c>
      <c r="C391" s="261" t="s">
        <v>453</v>
      </c>
      <c r="D391" s="261" t="s">
        <v>461</v>
      </c>
      <c r="E391" s="262">
        <v>448263.38</v>
      </c>
      <c r="F391" s="262">
        <v>0</v>
      </c>
      <c r="G391" s="285">
        <f>Tabla3[[#This Row],[INGRESOS]]-Tabla3[[#This Row],[EGRESOS]]</f>
        <v>-448263.38</v>
      </c>
      <c r="H391" s="285">
        <v>-7644905.1699999999</v>
      </c>
      <c r="I391" s="135">
        <v>1140</v>
      </c>
      <c r="J391" s="136">
        <f>Tabla3[[#This Row],[EGRESOS]]/Tabla3[[#This Row],[TC]]</f>
        <v>393.21349122807015</v>
      </c>
      <c r="K391" s="136">
        <f>Tabla3[[#This Row],[INGRESOS]]/Tabla3[[#This Row],[TC]]</f>
        <v>0</v>
      </c>
      <c r="L391" s="8" t="s">
        <v>303</v>
      </c>
      <c r="M391" s="8" t="s">
        <v>304</v>
      </c>
      <c r="N391" s="8" t="s">
        <v>28</v>
      </c>
      <c r="O391" s="8" t="s">
        <v>204</v>
      </c>
      <c r="P391" s="8" t="s">
        <v>210</v>
      </c>
      <c r="Q391" s="8" t="s">
        <v>211</v>
      </c>
      <c r="R391" s="8"/>
      <c r="S391" s="8" t="s">
        <v>462</v>
      </c>
      <c r="T391" s="8" t="s">
        <v>463</v>
      </c>
      <c r="U391" s="8" t="s">
        <v>258</v>
      </c>
      <c r="V391" s="8"/>
      <c r="W391" s="8" t="s">
        <v>306</v>
      </c>
      <c r="X391" s="8" t="s">
        <v>29</v>
      </c>
      <c r="Y391" s="8" t="s">
        <v>23</v>
      </c>
    </row>
    <row r="392" spans="1:25" hidden="1" x14ac:dyDescent="0.25">
      <c r="A392" s="283" t="s">
        <v>235</v>
      </c>
      <c r="B392" s="260">
        <v>45727</v>
      </c>
      <c r="C392" s="261" t="s">
        <v>464</v>
      </c>
      <c r="D392" s="261"/>
      <c r="E392" s="262">
        <v>0</v>
      </c>
      <c r="F392" s="262">
        <v>550000</v>
      </c>
      <c r="G392" s="285">
        <f>Tabla3[[#This Row],[INGRESOS]]-Tabla3[[#This Row],[EGRESOS]]</f>
        <v>550000</v>
      </c>
      <c r="H392" s="285">
        <v>-7182342</v>
      </c>
      <c r="I392" s="135">
        <v>1140</v>
      </c>
      <c r="J392" s="136">
        <f>Tabla3[[#This Row],[EGRESOS]]/Tabla3[[#This Row],[TC]]</f>
        <v>0</v>
      </c>
      <c r="K392" s="136">
        <f>Tabla3[[#This Row],[INGRESOS]]/Tabla3[[#This Row],[TC]]</f>
        <v>482.45614035087721</v>
      </c>
      <c r="L392" s="8" t="s">
        <v>303</v>
      </c>
      <c r="M392" s="8" t="s">
        <v>304</v>
      </c>
      <c r="N392" s="8" t="s">
        <v>28</v>
      </c>
      <c r="O392" s="8" t="s">
        <v>184</v>
      </c>
      <c r="P392" s="8" t="s">
        <v>194</v>
      </c>
      <c r="Q392" s="8" t="s">
        <v>236</v>
      </c>
      <c r="R392" s="8"/>
      <c r="S392" s="8" t="s">
        <v>311</v>
      </c>
      <c r="T392" s="8"/>
      <c r="U392" s="8" t="s">
        <v>272</v>
      </c>
      <c r="V392" s="8" t="s">
        <v>311</v>
      </c>
      <c r="W392" s="8" t="s">
        <v>306</v>
      </c>
      <c r="X392" s="8" t="s">
        <v>23</v>
      </c>
      <c r="Y392" s="8" t="s">
        <v>97</v>
      </c>
    </row>
    <row r="393" spans="1:25" hidden="1" x14ac:dyDescent="0.25">
      <c r="A393" s="283" t="s">
        <v>235</v>
      </c>
      <c r="B393" s="260">
        <v>45727</v>
      </c>
      <c r="C393" s="261" t="s">
        <v>438</v>
      </c>
      <c r="D393" s="261"/>
      <c r="E393" s="262">
        <v>3214.2</v>
      </c>
      <c r="F393" s="262">
        <v>0</v>
      </c>
      <c r="G393" s="285">
        <f>Tabla3[[#This Row],[INGRESOS]]-Tabla3[[#This Row],[EGRESOS]]</f>
        <v>-3214.2</v>
      </c>
      <c r="H393" s="285">
        <v>-7185556.6200000001</v>
      </c>
      <c r="I393" s="135">
        <v>1140</v>
      </c>
      <c r="J393" s="136">
        <f>Tabla3[[#This Row],[EGRESOS]]/Tabla3[[#This Row],[TC]]</f>
        <v>2.8194736842105264</v>
      </c>
      <c r="K393" s="136">
        <f>Tabla3[[#This Row],[INGRESOS]]/Tabla3[[#This Row],[TC]]</f>
        <v>0</v>
      </c>
      <c r="L393" s="8" t="s">
        <v>303</v>
      </c>
      <c r="M393" s="8" t="s">
        <v>304</v>
      </c>
      <c r="N393" s="8" t="s">
        <v>28</v>
      </c>
      <c r="O393" s="8" t="s">
        <v>184</v>
      </c>
      <c r="P393" s="8" t="s">
        <v>187</v>
      </c>
      <c r="Q393" s="8" t="s">
        <v>188</v>
      </c>
      <c r="R393" s="8" t="s">
        <v>317</v>
      </c>
      <c r="S393" s="8"/>
      <c r="T393" s="8"/>
      <c r="U393" s="8" t="s">
        <v>261</v>
      </c>
      <c r="V393" s="8"/>
      <c r="W393" s="8" t="s">
        <v>306</v>
      </c>
      <c r="X393" s="8" t="s">
        <v>98</v>
      </c>
      <c r="Y393" s="8" t="s">
        <v>23</v>
      </c>
    </row>
    <row r="394" spans="1:25" hidden="1" x14ac:dyDescent="0.25">
      <c r="A394" s="283" t="s">
        <v>235</v>
      </c>
      <c r="B394" s="260">
        <v>45727</v>
      </c>
      <c r="C394" s="261" t="s">
        <v>465</v>
      </c>
      <c r="D394" s="261"/>
      <c r="E394" s="262">
        <v>3300</v>
      </c>
      <c r="F394" s="262">
        <v>0</v>
      </c>
      <c r="G394" s="285">
        <f>Tabla3[[#This Row],[INGRESOS]]-Tabla3[[#This Row],[EGRESOS]]</f>
        <v>-3300</v>
      </c>
      <c r="H394" s="285">
        <v>-7188856.6200000001</v>
      </c>
      <c r="I394" s="135">
        <v>1140</v>
      </c>
      <c r="J394" s="136">
        <f>Tabla3[[#This Row],[EGRESOS]]/Tabla3[[#This Row],[TC]]</f>
        <v>2.8947368421052633</v>
      </c>
      <c r="K394" s="136">
        <f>Tabla3[[#This Row],[INGRESOS]]/Tabla3[[#This Row],[TC]]</f>
        <v>0</v>
      </c>
      <c r="L394" s="8" t="s">
        <v>303</v>
      </c>
      <c r="M394" s="8" t="s">
        <v>304</v>
      </c>
      <c r="N394" s="8" t="s">
        <v>28</v>
      </c>
      <c r="O394" s="8" t="s">
        <v>184</v>
      </c>
      <c r="P394" s="8" t="s">
        <v>187</v>
      </c>
      <c r="Q394" s="8" t="s">
        <v>188</v>
      </c>
      <c r="R394" s="8" t="s">
        <v>317</v>
      </c>
      <c r="S394" s="8"/>
      <c r="T394" s="8"/>
      <c r="U394" s="8" t="s">
        <v>261</v>
      </c>
      <c r="V394" s="8"/>
      <c r="W394" s="8" t="s">
        <v>306</v>
      </c>
      <c r="X394" s="8" t="s">
        <v>98</v>
      </c>
      <c r="Y394" s="8" t="s">
        <v>23</v>
      </c>
    </row>
    <row r="395" spans="1:25" hidden="1" x14ac:dyDescent="0.25">
      <c r="A395" s="283" t="s">
        <v>235</v>
      </c>
      <c r="B395" s="260">
        <v>45728</v>
      </c>
      <c r="C395" s="261" t="s">
        <v>446</v>
      </c>
      <c r="D395" s="261"/>
      <c r="E395" s="262">
        <v>6100</v>
      </c>
      <c r="F395" s="262">
        <v>0</v>
      </c>
      <c r="G395" s="285">
        <f>Tabla3[[#This Row],[INGRESOS]]-Tabla3[[#This Row],[EGRESOS]]</f>
        <v>-6100</v>
      </c>
      <c r="H395" s="285">
        <v>-7199956.6200000001</v>
      </c>
      <c r="I395" s="135">
        <v>1140</v>
      </c>
      <c r="J395" s="136">
        <f>Tabla3[[#This Row],[EGRESOS]]/Tabla3[[#This Row],[TC]]</f>
        <v>5.3508771929824563</v>
      </c>
      <c r="K395" s="136">
        <f>Tabla3[[#This Row],[INGRESOS]]/Tabla3[[#This Row],[TC]]</f>
        <v>0</v>
      </c>
      <c r="L395" s="8" t="s">
        <v>303</v>
      </c>
      <c r="M395" s="8" t="s">
        <v>304</v>
      </c>
      <c r="N395" s="8" t="s">
        <v>28</v>
      </c>
      <c r="O395" s="8" t="s">
        <v>214</v>
      </c>
      <c r="P395" s="8" t="s">
        <v>216</v>
      </c>
      <c r="Q395" s="8" t="s">
        <v>217</v>
      </c>
      <c r="R395" s="8" t="s">
        <v>466</v>
      </c>
      <c r="S395" s="8"/>
      <c r="T395" s="8"/>
      <c r="U395" s="8" t="s">
        <v>262</v>
      </c>
      <c r="V395" s="8"/>
      <c r="W395" s="8"/>
      <c r="X395" s="8"/>
      <c r="Y395" s="8"/>
    </row>
    <row r="396" spans="1:25" hidden="1" x14ac:dyDescent="0.25">
      <c r="A396" s="283" t="s">
        <v>235</v>
      </c>
      <c r="B396" s="260">
        <v>45728</v>
      </c>
      <c r="C396" s="261" t="s">
        <v>446</v>
      </c>
      <c r="D396" s="261"/>
      <c r="E396" s="262">
        <v>5000</v>
      </c>
      <c r="F396" s="262">
        <v>0</v>
      </c>
      <c r="G396" s="285">
        <f>Tabla3[[#This Row],[INGRESOS]]-Tabla3[[#This Row],[EGRESOS]]</f>
        <v>-5000</v>
      </c>
      <c r="H396" s="285">
        <v>-7193856.6200000001</v>
      </c>
      <c r="I396" s="135">
        <v>1140</v>
      </c>
      <c r="J396" s="136">
        <f>Tabla3[[#This Row],[EGRESOS]]/Tabla3[[#This Row],[TC]]</f>
        <v>4.3859649122807021</v>
      </c>
      <c r="K396" s="136">
        <f>Tabla3[[#This Row],[INGRESOS]]/Tabla3[[#This Row],[TC]]</f>
        <v>0</v>
      </c>
      <c r="L396" s="8" t="s">
        <v>303</v>
      </c>
      <c r="M396" s="8" t="s">
        <v>304</v>
      </c>
      <c r="N396" s="8" t="s">
        <v>28</v>
      </c>
      <c r="O396" s="8" t="s">
        <v>214</v>
      </c>
      <c r="P396" s="8" t="s">
        <v>216</v>
      </c>
      <c r="Q396" s="8" t="s">
        <v>217</v>
      </c>
      <c r="R396" s="8" t="s">
        <v>316</v>
      </c>
      <c r="S396" s="8"/>
      <c r="T396" s="8"/>
      <c r="U396" s="8" t="s">
        <v>262</v>
      </c>
      <c r="V396" s="8"/>
      <c r="W396" s="8"/>
      <c r="X396" s="8"/>
      <c r="Y396" s="8"/>
    </row>
    <row r="397" spans="1:25" hidden="1" x14ac:dyDescent="0.25">
      <c r="A397" s="283" t="s">
        <v>235</v>
      </c>
      <c r="B397" s="260">
        <v>45734</v>
      </c>
      <c r="C397" s="261" t="s">
        <v>453</v>
      </c>
      <c r="D397" s="261" t="s">
        <v>467</v>
      </c>
      <c r="E397" s="262">
        <v>757427.09</v>
      </c>
      <c r="F397" s="262">
        <v>0</v>
      </c>
      <c r="G397" s="285">
        <f>Tabla3[[#This Row],[INGRESOS]]-Tabla3[[#This Row],[EGRESOS]]</f>
        <v>-757427.09</v>
      </c>
      <c r="H397" s="285">
        <v>-7957383.71</v>
      </c>
      <c r="I397" s="135">
        <v>1140</v>
      </c>
      <c r="J397" s="136">
        <f>Tabla3[[#This Row],[EGRESOS]]/Tabla3[[#This Row],[TC]]</f>
        <v>664.40972807017545</v>
      </c>
      <c r="K397" s="136">
        <f>Tabla3[[#This Row],[INGRESOS]]/Tabla3[[#This Row],[TC]]</f>
        <v>0</v>
      </c>
      <c r="L397" s="8" t="s">
        <v>303</v>
      </c>
      <c r="M397" s="8" t="s">
        <v>304</v>
      </c>
      <c r="N397" s="8" t="s">
        <v>28</v>
      </c>
      <c r="O397" s="8" t="s">
        <v>204</v>
      </c>
      <c r="P397" s="8" t="s">
        <v>210</v>
      </c>
      <c r="Q397" s="8" t="s">
        <v>230</v>
      </c>
      <c r="R397" s="8" t="s">
        <v>468</v>
      </c>
      <c r="S397" s="8" t="s">
        <v>469</v>
      </c>
      <c r="T397" s="8"/>
      <c r="U397" s="8" t="s">
        <v>258</v>
      </c>
      <c r="V397" s="8"/>
      <c r="W397" s="8" t="s">
        <v>306</v>
      </c>
      <c r="X397" s="8" t="s">
        <v>29</v>
      </c>
      <c r="Y397" s="8" t="s">
        <v>23</v>
      </c>
    </row>
    <row r="398" spans="1:25" hidden="1" x14ac:dyDescent="0.25">
      <c r="A398" s="283" t="s">
        <v>235</v>
      </c>
      <c r="B398" s="260">
        <v>45734</v>
      </c>
      <c r="C398" s="261" t="s">
        <v>470</v>
      </c>
      <c r="D398" s="261"/>
      <c r="E398" s="262">
        <v>0</v>
      </c>
      <c r="F398" s="262">
        <v>760000</v>
      </c>
      <c r="G398" s="285">
        <f>Tabla3[[#This Row],[INGRESOS]]-Tabla3[[#This Row],[EGRESOS]]</f>
        <v>760000</v>
      </c>
      <c r="H398" s="285">
        <v>-7197383.71</v>
      </c>
      <c r="I398" s="135">
        <v>1140</v>
      </c>
      <c r="J398" s="136">
        <f>Tabla3[[#This Row],[EGRESOS]]/Tabla3[[#This Row],[TC]]</f>
        <v>0</v>
      </c>
      <c r="K398" s="136">
        <f>Tabla3[[#This Row],[INGRESOS]]/Tabla3[[#This Row],[TC]]</f>
        <v>666.66666666666663</v>
      </c>
      <c r="L398" s="8" t="s">
        <v>303</v>
      </c>
      <c r="M398" s="8" t="s">
        <v>304</v>
      </c>
      <c r="N398" s="8" t="s">
        <v>28</v>
      </c>
      <c r="O398" s="8" t="s">
        <v>214</v>
      </c>
      <c r="P398" s="8" t="s">
        <v>216</v>
      </c>
      <c r="Q398" s="8" t="s">
        <v>217</v>
      </c>
      <c r="R398" s="8" t="s">
        <v>388</v>
      </c>
      <c r="S398" s="8"/>
      <c r="T398" s="8"/>
      <c r="U398" s="8" t="s">
        <v>262</v>
      </c>
      <c r="V398" s="8"/>
      <c r="W398" s="8"/>
      <c r="X398" s="8"/>
      <c r="Y398" s="8"/>
    </row>
    <row r="399" spans="1:25" hidden="1" x14ac:dyDescent="0.25">
      <c r="A399" s="283" t="s">
        <v>235</v>
      </c>
      <c r="B399" s="260">
        <v>45734</v>
      </c>
      <c r="C399" s="261" t="s">
        <v>438</v>
      </c>
      <c r="D399" s="261"/>
      <c r="E399" s="262">
        <v>4544.5600000000004</v>
      </c>
      <c r="F399" s="262">
        <v>0</v>
      </c>
      <c r="G399" s="285">
        <f>Tabla3[[#This Row],[INGRESOS]]-Tabla3[[#This Row],[EGRESOS]]</f>
        <v>-4544.5600000000004</v>
      </c>
      <c r="H399" s="285">
        <v>-7201928.2699999996</v>
      </c>
      <c r="I399" s="135">
        <v>1140</v>
      </c>
      <c r="J399" s="136">
        <f>Tabla3[[#This Row],[EGRESOS]]/Tabla3[[#This Row],[TC]]</f>
        <v>3.9864561403508776</v>
      </c>
      <c r="K399" s="136">
        <f>Tabla3[[#This Row],[INGRESOS]]/Tabla3[[#This Row],[TC]]</f>
        <v>0</v>
      </c>
      <c r="L399" s="8" t="s">
        <v>303</v>
      </c>
      <c r="M399" s="8" t="s">
        <v>304</v>
      </c>
      <c r="N399" s="8" t="s">
        <v>28</v>
      </c>
      <c r="O399" s="8" t="s">
        <v>184</v>
      </c>
      <c r="P399" s="8" t="s">
        <v>187</v>
      </c>
      <c r="Q399" s="8" t="s">
        <v>188</v>
      </c>
      <c r="R399" s="8" t="s">
        <v>317</v>
      </c>
      <c r="S399" s="8"/>
      <c r="T399" s="8"/>
      <c r="U399" s="8" t="s">
        <v>261</v>
      </c>
      <c r="V399" s="8"/>
      <c r="W399" s="8" t="s">
        <v>306</v>
      </c>
      <c r="X399" s="8" t="s">
        <v>98</v>
      </c>
      <c r="Y399" s="8" t="s">
        <v>23</v>
      </c>
    </row>
    <row r="400" spans="1:25" hidden="1" x14ac:dyDescent="0.25">
      <c r="A400" s="283" t="s">
        <v>235</v>
      </c>
      <c r="B400" s="260">
        <v>45735</v>
      </c>
      <c r="C400" s="261" t="s">
        <v>470</v>
      </c>
      <c r="D400" s="261"/>
      <c r="E400" s="262">
        <v>0</v>
      </c>
      <c r="F400" s="262">
        <v>20000</v>
      </c>
      <c r="G400" s="285">
        <f>Tabla3[[#This Row],[INGRESOS]]-Tabla3[[#This Row],[EGRESOS]]</f>
        <v>20000</v>
      </c>
      <c r="H400" s="285">
        <v>7181928.2699999996</v>
      </c>
      <c r="I400" s="135">
        <v>1140</v>
      </c>
      <c r="J400" s="136">
        <f>Tabla3[[#This Row],[EGRESOS]]/Tabla3[[#This Row],[TC]]</f>
        <v>0</v>
      </c>
      <c r="K400" s="136">
        <f>Tabla3[[#This Row],[INGRESOS]]/Tabla3[[#This Row],[TC]]</f>
        <v>17.543859649122808</v>
      </c>
      <c r="L400" s="8" t="s">
        <v>303</v>
      </c>
      <c r="M400" s="8" t="s">
        <v>304</v>
      </c>
      <c r="N400" s="8" t="s">
        <v>28</v>
      </c>
      <c r="O400" s="8" t="s">
        <v>214</v>
      </c>
      <c r="P400" s="8" t="s">
        <v>216</v>
      </c>
      <c r="Q400" s="8" t="s">
        <v>217</v>
      </c>
      <c r="R400" s="8" t="s">
        <v>388</v>
      </c>
      <c r="S400" s="8"/>
      <c r="T400" s="8"/>
      <c r="U400" s="8" t="s">
        <v>262</v>
      </c>
      <c r="V400" s="8"/>
      <c r="W400" s="8"/>
      <c r="X400" s="8"/>
      <c r="Y400" s="8"/>
    </row>
    <row r="401" spans="1:25" x14ac:dyDescent="0.25">
      <c r="A401" s="283" t="s">
        <v>235</v>
      </c>
      <c r="B401" s="260">
        <v>45742</v>
      </c>
      <c r="C401" s="261" t="s">
        <v>453</v>
      </c>
      <c r="D401" s="261" t="s">
        <v>471</v>
      </c>
      <c r="E401" s="262">
        <v>133425.44</v>
      </c>
      <c r="F401" s="262">
        <v>0</v>
      </c>
      <c r="G401" s="285">
        <f>Tabla3[[#This Row],[INGRESOS]]-Tabla3[[#This Row],[EGRESOS]]</f>
        <v>-133425.44</v>
      </c>
      <c r="H401" s="285">
        <v>-7315353.71</v>
      </c>
      <c r="I401" s="135">
        <v>1140</v>
      </c>
      <c r="J401" s="136">
        <f>Tabla3[[#This Row],[EGRESOS]]/Tabla3[[#This Row],[TC]]</f>
        <v>117.0398596491228</v>
      </c>
      <c r="K401" s="136">
        <f>Tabla3[[#This Row],[INGRESOS]]/Tabla3[[#This Row],[TC]]</f>
        <v>0</v>
      </c>
      <c r="L401" s="8" t="s">
        <v>303</v>
      </c>
      <c r="M401" s="8" t="s">
        <v>304</v>
      </c>
      <c r="N401" s="8" t="s">
        <v>28</v>
      </c>
      <c r="O401" s="8" t="s">
        <v>742</v>
      </c>
      <c r="P401" s="8" t="s">
        <v>220</v>
      </c>
      <c r="Q401" s="8" t="s">
        <v>222</v>
      </c>
      <c r="R401" s="8" t="s">
        <v>33</v>
      </c>
      <c r="S401" s="8" t="s">
        <v>472</v>
      </c>
      <c r="T401" s="8" t="s">
        <v>473</v>
      </c>
      <c r="U401" s="8" t="s">
        <v>258</v>
      </c>
      <c r="V401" s="8"/>
      <c r="W401" s="8" t="s">
        <v>306</v>
      </c>
      <c r="X401" s="8" t="s">
        <v>29</v>
      </c>
      <c r="Y401" s="8" t="s">
        <v>23</v>
      </c>
    </row>
    <row r="402" spans="1:25" hidden="1" x14ac:dyDescent="0.25">
      <c r="A402" s="283" t="s">
        <v>235</v>
      </c>
      <c r="B402" s="260">
        <v>45742</v>
      </c>
      <c r="C402" s="261" t="s">
        <v>453</v>
      </c>
      <c r="D402" s="261" t="s">
        <v>474</v>
      </c>
      <c r="E402" s="262">
        <v>1550000</v>
      </c>
      <c r="F402" s="262">
        <v>0</v>
      </c>
      <c r="G402" s="285">
        <f>Tabla3[[#This Row],[INGRESOS]]-Tabla3[[#This Row],[EGRESOS]]</f>
        <v>-1550000</v>
      </c>
      <c r="H402" s="285">
        <v>-8731928.2699999996</v>
      </c>
      <c r="I402" s="135">
        <v>1140</v>
      </c>
      <c r="J402" s="136">
        <f>Tabla3[[#This Row],[EGRESOS]]/Tabla3[[#This Row],[TC]]</f>
        <v>1359.6491228070176</v>
      </c>
      <c r="K402" s="136">
        <f>Tabla3[[#This Row],[INGRESOS]]/Tabla3[[#This Row],[TC]]</f>
        <v>0</v>
      </c>
      <c r="L402" s="8" t="s">
        <v>303</v>
      </c>
      <c r="M402" s="8" t="s">
        <v>304</v>
      </c>
      <c r="N402" s="8" t="s">
        <v>28</v>
      </c>
      <c r="O402" s="8" t="s">
        <v>204</v>
      </c>
      <c r="P402" s="8" t="s">
        <v>205</v>
      </c>
      <c r="Q402" s="8" t="s">
        <v>206</v>
      </c>
      <c r="R402" s="8"/>
      <c r="S402" s="8" t="s">
        <v>401</v>
      </c>
      <c r="T402" s="8"/>
      <c r="U402" s="8" t="s">
        <v>260</v>
      </c>
      <c r="V402" s="8"/>
      <c r="W402" s="8" t="s">
        <v>306</v>
      </c>
      <c r="X402" s="8" t="s">
        <v>49</v>
      </c>
      <c r="Y402" s="8" t="s">
        <v>23</v>
      </c>
    </row>
    <row r="403" spans="1:25" hidden="1" x14ac:dyDescent="0.25">
      <c r="A403" s="283" t="s">
        <v>235</v>
      </c>
      <c r="B403" s="260">
        <v>45742</v>
      </c>
      <c r="C403" s="261" t="s">
        <v>470</v>
      </c>
      <c r="D403" s="261"/>
      <c r="E403" s="262">
        <v>0</v>
      </c>
      <c r="F403" s="262">
        <v>1700000</v>
      </c>
      <c r="G403" s="285">
        <f>Tabla3[[#This Row],[INGRESOS]]-Tabla3[[#This Row],[EGRESOS]]</f>
        <v>1700000</v>
      </c>
      <c r="H403" s="285">
        <v>-7165353.71</v>
      </c>
      <c r="I403" s="135">
        <v>1140</v>
      </c>
      <c r="J403" s="136">
        <f>Tabla3[[#This Row],[EGRESOS]]/Tabla3[[#This Row],[TC]]</f>
        <v>0</v>
      </c>
      <c r="K403" s="136">
        <f>Tabla3[[#This Row],[INGRESOS]]/Tabla3[[#This Row],[TC]]</f>
        <v>1491.2280701754387</v>
      </c>
      <c r="L403" s="8" t="s">
        <v>303</v>
      </c>
      <c r="M403" s="8" t="s">
        <v>304</v>
      </c>
      <c r="N403" s="8" t="s">
        <v>28</v>
      </c>
      <c r="O403" s="8" t="s">
        <v>214</v>
      </c>
      <c r="P403" s="8" t="s">
        <v>216</v>
      </c>
      <c r="Q403" s="8" t="s">
        <v>217</v>
      </c>
      <c r="R403" s="8" t="s">
        <v>388</v>
      </c>
      <c r="S403" s="8"/>
      <c r="T403" s="8"/>
      <c r="U403" s="8" t="s">
        <v>262</v>
      </c>
      <c r="V403" s="8"/>
      <c r="W403" s="8"/>
      <c r="X403" s="8"/>
      <c r="Y403" s="8"/>
    </row>
    <row r="404" spans="1:25" hidden="1" x14ac:dyDescent="0.25">
      <c r="A404" s="283" t="s">
        <v>235</v>
      </c>
      <c r="B404" s="260">
        <v>45742</v>
      </c>
      <c r="C404" s="261" t="s">
        <v>438</v>
      </c>
      <c r="D404" s="261"/>
      <c r="E404" s="262">
        <v>10100.549999999999</v>
      </c>
      <c r="F404" s="262">
        <v>0</v>
      </c>
      <c r="G404" s="285">
        <f>Tabla3[[#This Row],[INGRESOS]]-Tabla3[[#This Row],[EGRESOS]]</f>
        <v>-10100.549999999999</v>
      </c>
      <c r="H404" s="285">
        <v>-7175454.2599999998</v>
      </c>
      <c r="I404" s="135">
        <v>1140</v>
      </c>
      <c r="J404" s="136">
        <f>Tabla3[[#This Row],[EGRESOS]]/Tabla3[[#This Row],[TC]]</f>
        <v>8.8601315789473674</v>
      </c>
      <c r="K404" s="136">
        <f>Tabla3[[#This Row],[INGRESOS]]/Tabla3[[#This Row],[TC]]</f>
        <v>0</v>
      </c>
      <c r="L404" s="8" t="s">
        <v>303</v>
      </c>
      <c r="M404" s="8" t="s">
        <v>304</v>
      </c>
      <c r="N404" s="8" t="s">
        <v>28</v>
      </c>
      <c r="O404" s="8" t="s">
        <v>184</v>
      </c>
      <c r="P404" s="8" t="s">
        <v>187</v>
      </c>
      <c r="Q404" s="8" t="s">
        <v>188</v>
      </c>
      <c r="R404" s="8" t="s">
        <v>317</v>
      </c>
      <c r="S404" s="8"/>
      <c r="T404" s="8"/>
      <c r="U404" s="8" t="s">
        <v>261</v>
      </c>
      <c r="V404" s="8"/>
      <c r="W404" s="8" t="s">
        <v>306</v>
      </c>
      <c r="X404" s="8" t="s">
        <v>98</v>
      </c>
      <c r="Y404" s="8" t="s">
        <v>23</v>
      </c>
    </row>
    <row r="405" spans="1:25" hidden="1" x14ac:dyDescent="0.25">
      <c r="A405" s="283" t="s">
        <v>235</v>
      </c>
      <c r="B405" s="260">
        <v>45744</v>
      </c>
      <c r="C405" s="261" t="s">
        <v>440</v>
      </c>
      <c r="D405" s="261"/>
      <c r="E405" s="262">
        <v>8800</v>
      </c>
      <c r="F405" s="262">
        <v>0</v>
      </c>
      <c r="G405" s="285">
        <f>Tabla3[[#This Row],[INGRESOS]]-Tabla3[[#This Row],[EGRESOS]]</f>
        <v>-8800</v>
      </c>
      <c r="H405" s="285">
        <v>-7184254.2599999998</v>
      </c>
      <c r="I405" s="135">
        <v>1140</v>
      </c>
      <c r="J405" s="136">
        <f>Tabla3[[#This Row],[EGRESOS]]/Tabla3[[#This Row],[TC]]</f>
        <v>7.7192982456140351</v>
      </c>
      <c r="K405" s="136">
        <f>Tabla3[[#This Row],[INGRESOS]]/Tabla3[[#This Row],[TC]]</f>
        <v>0</v>
      </c>
      <c r="L405" s="8" t="s">
        <v>303</v>
      </c>
      <c r="M405" s="8" t="s">
        <v>304</v>
      </c>
      <c r="N405" s="8" t="s">
        <v>28</v>
      </c>
      <c r="O405" s="8" t="s">
        <v>223</v>
      </c>
      <c r="P405" s="8" t="s">
        <v>241</v>
      </c>
      <c r="Q405" s="8" t="s">
        <v>1066</v>
      </c>
      <c r="R405" s="8"/>
      <c r="S405" s="8" t="s">
        <v>222</v>
      </c>
      <c r="T405" s="8"/>
      <c r="U405" s="8" t="s">
        <v>260</v>
      </c>
      <c r="V405" s="8"/>
      <c r="W405" s="8" t="s">
        <v>306</v>
      </c>
      <c r="X405" s="8" t="s">
        <v>29</v>
      </c>
      <c r="Y405" s="8" t="s">
        <v>23</v>
      </c>
    </row>
    <row r="406" spans="1:25" hidden="1" x14ac:dyDescent="0.25">
      <c r="A406" s="283" t="s">
        <v>235</v>
      </c>
      <c r="B406" s="260">
        <v>45744</v>
      </c>
      <c r="C406" s="261" t="s">
        <v>438</v>
      </c>
      <c r="D406" s="261"/>
      <c r="E406" s="262">
        <v>52.8</v>
      </c>
      <c r="F406" s="262">
        <v>0</v>
      </c>
      <c r="G406" s="285">
        <f>Tabla3[[#This Row],[INGRESOS]]-Tabla3[[#This Row],[EGRESOS]]</f>
        <v>-52.8</v>
      </c>
      <c r="H406" s="285">
        <v>-7184307.0599999996</v>
      </c>
      <c r="I406" s="135">
        <v>1140</v>
      </c>
      <c r="J406" s="136">
        <f>Tabla3[[#This Row],[EGRESOS]]/Tabla3[[#This Row],[TC]]</f>
        <v>4.6315789473684206E-2</v>
      </c>
      <c r="K406" s="136">
        <f>Tabla3[[#This Row],[INGRESOS]]/Tabla3[[#This Row],[TC]]</f>
        <v>0</v>
      </c>
      <c r="L406" s="8" t="s">
        <v>303</v>
      </c>
      <c r="M406" s="8" t="s">
        <v>304</v>
      </c>
      <c r="N406" s="8" t="s">
        <v>28</v>
      </c>
      <c r="O406" s="8" t="s">
        <v>184</v>
      </c>
      <c r="P406" s="8" t="s">
        <v>187</v>
      </c>
      <c r="Q406" s="8" t="s">
        <v>188</v>
      </c>
      <c r="R406" s="8" t="s">
        <v>317</v>
      </c>
      <c r="S406" s="8"/>
      <c r="T406" s="8"/>
      <c r="U406" s="8" t="s">
        <v>261</v>
      </c>
      <c r="V406" s="8"/>
      <c r="W406" s="8" t="s">
        <v>306</v>
      </c>
      <c r="X406" s="8" t="s">
        <v>98</v>
      </c>
      <c r="Y406" s="8" t="s">
        <v>23</v>
      </c>
    </row>
    <row r="407" spans="1:25" hidden="1" x14ac:dyDescent="0.25">
      <c r="A407" s="283" t="s">
        <v>242</v>
      </c>
      <c r="B407" s="260">
        <v>45748</v>
      </c>
      <c r="C407" s="261" t="s">
        <v>457</v>
      </c>
      <c r="D407" s="261"/>
      <c r="E407" s="262">
        <v>0</v>
      </c>
      <c r="F407" s="262">
        <v>19600000</v>
      </c>
      <c r="G407" s="285">
        <f>Tabla3[[#This Row],[INGRESOS]]-Tabla3[[#This Row],[EGRESOS]]</f>
        <v>19600000</v>
      </c>
      <c r="H407" s="285">
        <v>12415692.939999999</v>
      </c>
      <c r="I407" s="135">
        <v>1140</v>
      </c>
      <c r="J407" s="136">
        <f>Tabla3[[#This Row],[EGRESOS]]/Tabla3[[#This Row],[TC]]</f>
        <v>0</v>
      </c>
      <c r="K407" s="136">
        <f>Tabla3[[#This Row],[INGRESOS]]/Tabla3[[#This Row],[TC]]</f>
        <v>17192.982456140351</v>
      </c>
      <c r="L407" s="8" t="s">
        <v>303</v>
      </c>
      <c r="M407" s="8" t="s">
        <v>304</v>
      </c>
      <c r="N407" s="8" t="s">
        <v>28</v>
      </c>
      <c r="O407" s="8" t="s">
        <v>214</v>
      </c>
      <c r="P407" s="8" t="s">
        <v>216</v>
      </c>
      <c r="Q407" s="8" t="s">
        <v>217</v>
      </c>
      <c r="R407" s="8" t="s">
        <v>914</v>
      </c>
      <c r="S407" s="8"/>
      <c r="T407" s="8"/>
      <c r="U407" s="8" t="s">
        <v>262</v>
      </c>
      <c r="V407" s="8"/>
      <c r="W407" s="8"/>
      <c r="X407" s="8"/>
      <c r="Y407" s="8"/>
    </row>
    <row r="408" spans="1:25" hidden="1" x14ac:dyDescent="0.25">
      <c r="A408" s="283" t="s">
        <v>242</v>
      </c>
      <c r="B408" s="260">
        <v>45748</v>
      </c>
      <c r="C408" s="261" t="s">
        <v>436</v>
      </c>
      <c r="D408" s="261"/>
      <c r="E408" s="262">
        <v>1260</v>
      </c>
      <c r="F408" s="262">
        <v>0</v>
      </c>
      <c r="G408" s="285">
        <f>Tabla3[[#This Row],[INGRESOS]]-Tabla3[[#This Row],[EGRESOS]]</f>
        <v>-1260</v>
      </c>
      <c r="H408" s="285">
        <v>12414432.939999999</v>
      </c>
      <c r="I408" s="135">
        <v>1140</v>
      </c>
      <c r="J408" s="136">
        <f>Tabla3[[#This Row],[EGRESOS]]/Tabla3[[#This Row],[TC]]</f>
        <v>1.1052631578947369</v>
      </c>
      <c r="K408" s="136">
        <f>Tabla3[[#This Row],[INGRESOS]]/Tabla3[[#This Row],[TC]]</f>
        <v>0</v>
      </c>
      <c r="L408" s="8" t="s">
        <v>303</v>
      </c>
      <c r="M408" s="8" t="s">
        <v>304</v>
      </c>
      <c r="N408" s="8" t="s">
        <v>28</v>
      </c>
      <c r="O408" s="8" t="s">
        <v>184</v>
      </c>
      <c r="P408" s="8" t="s">
        <v>187</v>
      </c>
      <c r="Q408" s="8" t="s">
        <v>188</v>
      </c>
      <c r="R408" s="8" t="s">
        <v>475</v>
      </c>
      <c r="S408" s="8"/>
      <c r="T408" s="8"/>
      <c r="U408" s="8" t="s">
        <v>261</v>
      </c>
      <c r="V408" s="8"/>
      <c r="W408" s="8" t="s">
        <v>306</v>
      </c>
      <c r="X408" s="8" t="s">
        <v>98</v>
      </c>
      <c r="Y408" s="8" t="s">
        <v>23</v>
      </c>
    </row>
    <row r="409" spans="1:25" hidden="1" x14ac:dyDescent="0.25">
      <c r="A409" s="283" t="s">
        <v>242</v>
      </c>
      <c r="B409" s="260">
        <v>45748</v>
      </c>
      <c r="C409" s="261" t="s">
        <v>232</v>
      </c>
      <c r="D409" s="261"/>
      <c r="E409" s="262">
        <v>8820</v>
      </c>
      <c r="F409" s="262">
        <v>0</v>
      </c>
      <c r="G409" s="285">
        <f>Tabla3[[#This Row],[INGRESOS]]-Tabla3[[#This Row],[EGRESOS]]</f>
        <v>-8820</v>
      </c>
      <c r="H409" s="285">
        <v>12405612.939999999</v>
      </c>
      <c r="I409" s="135">
        <v>1140</v>
      </c>
      <c r="J409" s="136">
        <f>Tabla3[[#This Row],[EGRESOS]]/Tabla3[[#This Row],[TC]]</f>
        <v>7.7368421052631575</v>
      </c>
      <c r="K409" s="136">
        <f>Tabla3[[#This Row],[INGRESOS]]/Tabla3[[#This Row],[TC]]</f>
        <v>0</v>
      </c>
      <c r="L409" s="8" t="s">
        <v>303</v>
      </c>
      <c r="M409" s="8" t="s">
        <v>304</v>
      </c>
      <c r="N409" s="8" t="s">
        <v>28</v>
      </c>
      <c r="O409" s="8" t="s">
        <v>184</v>
      </c>
      <c r="P409" s="8" t="s">
        <v>187</v>
      </c>
      <c r="Q409" s="8" t="s">
        <v>188</v>
      </c>
      <c r="R409" s="8" t="s">
        <v>308</v>
      </c>
      <c r="S409" s="8"/>
      <c r="T409" s="8"/>
      <c r="U409" s="8" t="s">
        <v>261</v>
      </c>
      <c r="V409" s="8"/>
      <c r="W409" s="8" t="s">
        <v>306</v>
      </c>
      <c r="X409" s="8" t="s">
        <v>98</v>
      </c>
      <c r="Y409" s="8" t="s">
        <v>23</v>
      </c>
    </row>
    <row r="410" spans="1:25" hidden="1" x14ac:dyDescent="0.25">
      <c r="A410" s="283" t="s">
        <v>242</v>
      </c>
      <c r="B410" s="260">
        <v>45748</v>
      </c>
      <c r="C410" s="261" t="s">
        <v>437</v>
      </c>
      <c r="D410" s="261"/>
      <c r="E410" s="262">
        <v>42000</v>
      </c>
      <c r="F410" s="262">
        <v>0</v>
      </c>
      <c r="G410" s="285">
        <f>Tabla3[[#This Row],[INGRESOS]]-Tabla3[[#This Row],[EGRESOS]]</f>
        <v>-42000</v>
      </c>
      <c r="H410" s="285">
        <v>12363612.939999999</v>
      </c>
      <c r="I410" s="135">
        <v>1140</v>
      </c>
      <c r="J410" s="136">
        <f>Tabla3[[#This Row],[EGRESOS]]/Tabla3[[#This Row],[TC]]</f>
        <v>36.842105263157897</v>
      </c>
      <c r="K410" s="136">
        <f>Tabla3[[#This Row],[INGRESOS]]/Tabla3[[#This Row],[TC]]</f>
        <v>0</v>
      </c>
      <c r="L410" s="8" t="s">
        <v>303</v>
      </c>
      <c r="M410" s="8" t="s">
        <v>304</v>
      </c>
      <c r="N410" s="8" t="s">
        <v>28</v>
      </c>
      <c r="O410" s="8" t="s">
        <v>184</v>
      </c>
      <c r="P410" s="8" t="s">
        <v>185</v>
      </c>
      <c r="Q410" s="8" t="s">
        <v>186</v>
      </c>
      <c r="R410" s="8"/>
      <c r="S410" s="8"/>
      <c r="T410" s="8"/>
      <c r="U410" s="8" t="s">
        <v>261</v>
      </c>
      <c r="V410" s="8"/>
      <c r="W410" s="8" t="s">
        <v>306</v>
      </c>
      <c r="X410" s="8" t="s">
        <v>98</v>
      </c>
      <c r="Y410" s="8" t="s">
        <v>23</v>
      </c>
    </row>
    <row r="411" spans="1:25" hidden="1" x14ac:dyDescent="0.25">
      <c r="A411" s="283" t="s">
        <v>242</v>
      </c>
      <c r="B411" s="260">
        <v>45748</v>
      </c>
      <c r="C411" s="261" t="s">
        <v>452</v>
      </c>
      <c r="D411" s="261"/>
      <c r="E411" s="262">
        <v>6600</v>
      </c>
      <c r="F411" s="262">
        <v>0</v>
      </c>
      <c r="G411" s="285">
        <f>Tabla3[[#This Row],[INGRESOS]]-Tabla3[[#This Row],[EGRESOS]]</f>
        <v>-6600</v>
      </c>
      <c r="H411" s="285">
        <v>12357012.939999999</v>
      </c>
      <c r="I411" s="135">
        <v>1140</v>
      </c>
      <c r="J411" s="136">
        <f>Tabla3[[#This Row],[EGRESOS]]/Tabla3[[#This Row],[TC]]</f>
        <v>5.7894736842105265</v>
      </c>
      <c r="K411" s="136">
        <f>Tabla3[[#This Row],[INGRESOS]]/Tabla3[[#This Row],[TC]]</f>
        <v>0</v>
      </c>
      <c r="L411" s="8" t="s">
        <v>303</v>
      </c>
      <c r="M411" s="8" t="s">
        <v>304</v>
      </c>
      <c r="N411" s="8" t="s">
        <v>28</v>
      </c>
      <c r="O411" s="8" t="s">
        <v>184</v>
      </c>
      <c r="P411" s="8" t="s">
        <v>185</v>
      </c>
      <c r="Q411" s="8" t="s">
        <v>186</v>
      </c>
      <c r="R411" s="8"/>
      <c r="S411" s="8"/>
      <c r="T411" s="8"/>
      <c r="U411" s="8" t="s">
        <v>261</v>
      </c>
      <c r="V411" s="8"/>
      <c r="W411" s="8" t="s">
        <v>306</v>
      </c>
      <c r="X411" s="8" t="s">
        <v>98</v>
      </c>
      <c r="Y411" s="8" t="s">
        <v>23</v>
      </c>
    </row>
    <row r="412" spans="1:25" hidden="1" x14ac:dyDescent="0.25">
      <c r="A412" s="283" t="s">
        <v>242</v>
      </c>
      <c r="B412" s="260">
        <v>45748</v>
      </c>
      <c r="C412" s="261" t="s">
        <v>232</v>
      </c>
      <c r="D412" s="261"/>
      <c r="E412" s="262">
        <v>1386</v>
      </c>
      <c r="F412" s="262">
        <v>0</v>
      </c>
      <c r="G412" s="285">
        <f>Tabla3[[#This Row],[INGRESOS]]-Tabla3[[#This Row],[EGRESOS]]</f>
        <v>-1386</v>
      </c>
      <c r="H412" s="285">
        <v>12355626.939999999</v>
      </c>
      <c r="I412" s="135">
        <v>1140</v>
      </c>
      <c r="J412" s="136">
        <f>Tabla3[[#This Row],[EGRESOS]]/Tabla3[[#This Row],[TC]]</f>
        <v>1.2157894736842105</v>
      </c>
      <c r="K412" s="136">
        <f>Tabla3[[#This Row],[INGRESOS]]/Tabla3[[#This Row],[TC]]</f>
        <v>0</v>
      </c>
      <c r="L412" s="8" t="s">
        <v>303</v>
      </c>
      <c r="M412" s="8" t="s">
        <v>304</v>
      </c>
      <c r="N412" s="8" t="s">
        <v>28</v>
      </c>
      <c r="O412" s="8" t="s">
        <v>184</v>
      </c>
      <c r="P412" s="8" t="s">
        <v>187</v>
      </c>
      <c r="Q412" s="8" t="s">
        <v>188</v>
      </c>
      <c r="R412" s="8" t="s">
        <v>308</v>
      </c>
      <c r="S412" s="8"/>
      <c r="T412" s="8"/>
      <c r="U412" s="8" t="s">
        <v>261</v>
      </c>
      <c r="V412" s="8"/>
      <c r="W412" s="8" t="s">
        <v>306</v>
      </c>
      <c r="X412" s="8" t="s">
        <v>98</v>
      </c>
      <c r="Y412" s="8" t="s">
        <v>23</v>
      </c>
    </row>
    <row r="413" spans="1:25" hidden="1" x14ac:dyDescent="0.25">
      <c r="A413" s="283" t="s">
        <v>242</v>
      </c>
      <c r="B413" s="260">
        <v>45748</v>
      </c>
      <c r="C413" s="261" t="s">
        <v>436</v>
      </c>
      <c r="D413" s="261"/>
      <c r="E413" s="262">
        <v>198</v>
      </c>
      <c r="F413" s="262">
        <v>0</v>
      </c>
      <c r="G413" s="285">
        <f>Tabla3[[#This Row],[INGRESOS]]-Tabla3[[#This Row],[EGRESOS]]</f>
        <v>-198</v>
      </c>
      <c r="H413" s="285">
        <v>12355428.939999999</v>
      </c>
      <c r="I413" s="135">
        <v>1140</v>
      </c>
      <c r="J413" s="136">
        <f>Tabla3[[#This Row],[EGRESOS]]/Tabla3[[#This Row],[TC]]</f>
        <v>0.1736842105263158</v>
      </c>
      <c r="K413" s="136">
        <f>Tabla3[[#This Row],[INGRESOS]]/Tabla3[[#This Row],[TC]]</f>
        <v>0</v>
      </c>
      <c r="L413" s="8" t="s">
        <v>303</v>
      </c>
      <c r="M413" s="8" t="s">
        <v>304</v>
      </c>
      <c r="N413" s="8" t="s">
        <v>28</v>
      </c>
      <c r="O413" s="8" t="s">
        <v>184</v>
      </c>
      <c r="P413" s="8" t="s">
        <v>187</v>
      </c>
      <c r="Q413" s="8" t="s">
        <v>188</v>
      </c>
      <c r="R413" s="8" t="s">
        <v>475</v>
      </c>
      <c r="S413" s="8"/>
      <c r="T413" s="8"/>
      <c r="U413" s="8" t="s">
        <v>261</v>
      </c>
      <c r="V413" s="8"/>
      <c r="W413" s="8" t="s">
        <v>306</v>
      </c>
      <c r="X413" s="8" t="s">
        <v>98</v>
      </c>
      <c r="Y413" s="8" t="s">
        <v>23</v>
      </c>
    </row>
    <row r="414" spans="1:25" hidden="1" x14ac:dyDescent="0.25">
      <c r="A414" s="283" t="s">
        <v>242</v>
      </c>
      <c r="B414" s="260">
        <v>45748</v>
      </c>
      <c r="C414" s="261" t="s">
        <v>438</v>
      </c>
      <c r="D414" s="261"/>
      <c r="E414" s="262">
        <v>361.58</v>
      </c>
      <c r="F414" s="262">
        <v>0</v>
      </c>
      <c r="G414" s="285">
        <f>Tabla3[[#This Row],[INGRESOS]]-Tabla3[[#This Row],[EGRESOS]]</f>
        <v>-361.58</v>
      </c>
      <c r="H414" s="285">
        <v>12355067.359999999</v>
      </c>
      <c r="I414" s="135">
        <v>1140</v>
      </c>
      <c r="J414" s="136">
        <f>Tabla3[[#This Row],[EGRESOS]]/Tabla3[[#This Row],[TC]]</f>
        <v>0.31717543859649122</v>
      </c>
      <c r="K414" s="136">
        <f>Tabla3[[#This Row],[INGRESOS]]/Tabla3[[#This Row],[TC]]</f>
        <v>0</v>
      </c>
      <c r="L414" s="8" t="s">
        <v>303</v>
      </c>
      <c r="M414" s="8" t="s">
        <v>304</v>
      </c>
      <c r="N414" s="8" t="s">
        <v>28</v>
      </c>
      <c r="O414" s="8" t="s">
        <v>184</v>
      </c>
      <c r="P414" s="8" t="s">
        <v>187</v>
      </c>
      <c r="Q414" s="8" t="s">
        <v>188</v>
      </c>
      <c r="R414" s="8" t="s">
        <v>317</v>
      </c>
      <c r="S414" s="8"/>
      <c r="T414" s="8"/>
      <c r="U414" s="8" t="s">
        <v>261</v>
      </c>
      <c r="V414" s="8"/>
      <c r="W414" s="8" t="s">
        <v>306</v>
      </c>
      <c r="X414" s="8" t="s">
        <v>98</v>
      </c>
      <c r="Y414" s="8" t="s">
        <v>23</v>
      </c>
    </row>
    <row r="415" spans="1:25" hidden="1" x14ac:dyDescent="0.25">
      <c r="A415" s="283" t="s">
        <v>242</v>
      </c>
      <c r="B415" s="260">
        <v>45748</v>
      </c>
      <c r="C415" s="261" t="s">
        <v>438</v>
      </c>
      <c r="D415" s="261"/>
      <c r="E415" s="262">
        <v>2032.49</v>
      </c>
      <c r="F415" s="262">
        <v>0</v>
      </c>
      <c r="G415" s="285">
        <f>Tabla3[[#This Row],[INGRESOS]]-Tabla3[[#This Row],[EGRESOS]]</f>
        <v>-2032.49</v>
      </c>
      <c r="H415" s="285">
        <v>12014286.6</v>
      </c>
      <c r="I415" s="135">
        <v>1140</v>
      </c>
      <c r="J415" s="136">
        <f>Tabla3[[#This Row],[EGRESOS]]/Tabla3[[#This Row],[TC]]</f>
        <v>1.7828859649122808</v>
      </c>
      <c r="K415" s="136">
        <f>Tabla3[[#This Row],[INGRESOS]]/Tabla3[[#This Row],[TC]]</f>
        <v>0</v>
      </c>
      <c r="L415" s="8" t="s">
        <v>303</v>
      </c>
      <c r="M415" s="8" t="s">
        <v>304</v>
      </c>
      <c r="N415" s="8" t="s">
        <v>28</v>
      </c>
      <c r="O415" s="8" t="s">
        <v>184</v>
      </c>
      <c r="P415" s="8" t="s">
        <v>187</v>
      </c>
      <c r="Q415" s="8" t="s">
        <v>188</v>
      </c>
      <c r="R415" s="8" t="s">
        <v>317</v>
      </c>
      <c r="S415" s="8"/>
      <c r="T415" s="8"/>
      <c r="U415" s="8" t="s">
        <v>261</v>
      </c>
      <c r="V415" s="8"/>
      <c r="W415" s="8" t="s">
        <v>306</v>
      </c>
      <c r="X415" s="8" t="s">
        <v>98</v>
      </c>
      <c r="Y415" s="8" t="s">
        <v>23</v>
      </c>
    </row>
    <row r="416" spans="1:25" hidden="1" x14ac:dyDescent="0.25">
      <c r="A416" s="283" t="s">
        <v>242</v>
      </c>
      <c r="B416" s="260">
        <v>45748</v>
      </c>
      <c r="C416" s="261" t="s">
        <v>436</v>
      </c>
      <c r="D416" s="261"/>
      <c r="E416" s="262">
        <v>4441.66</v>
      </c>
      <c r="F416" s="262">
        <v>0</v>
      </c>
      <c r="G416" s="285">
        <f>Tabla3[[#This Row],[INGRESOS]]-Tabla3[[#This Row],[EGRESOS]]</f>
        <v>-4441.66</v>
      </c>
      <c r="H416" s="285">
        <v>12016319.09</v>
      </c>
      <c r="I416" s="135">
        <v>1140</v>
      </c>
      <c r="J416" s="136">
        <f>Tabla3[[#This Row],[EGRESOS]]/Tabla3[[#This Row],[TC]]</f>
        <v>3.8961929824561401</v>
      </c>
      <c r="K416" s="136">
        <f>Tabla3[[#This Row],[INGRESOS]]/Tabla3[[#This Row],[TC]]</f>
        <v>0</v>
      </c>
      <c r="L416" s="8" t="s">
        <v>303</v>
      </c>
      <c r="M416" s="8" t="s">
        <v>304</v>
      </c>
      <c r="N416" s="8" t="s">
        <v>28</v>
      </c>
      <c r="O416" s="8" t="s">
        <v>184</v>
      </c>
      <c r="P416" s="8" t="s">
        <v>187</v>
      </c>
      <c r="Q416" s="8" t="s">
        <v>188</v>
      </c>
      <c r="R416" s="8" t="s">
        <v>334</v>
      </c>
      <c r="S416" s="8"/>
      <c r="T416" s="8"/>
      <c r="U416" s="8" t="s">
        <v>261</v>
      </c>
      <c r="V416" s="8"/>
      <c r="W416" s="8" t="s">
        <v>306</v>
      </c>
      <c r="X416" s="8" t="s">
        <v>98</v>
      </c>
      <c r="Y416" s="8" t="s">
        <v>23</v>
      </c>
    </row>
    <row r="417" spans="1:25" hidden="1" x14ac:dyDescent="0.25">
      <c r="A417" s="283" t="s">
        <v>242</v>
      </c>
      <c r="B417" s="260">
        <v>45748</v>
      </c>
      <c r="C417" s="261" t="s">
        <v>232</v>
      </c>
      <c r="D417" s="261"/>
      <c r="E417" s="262">
        <v>31091.599999999999</v>
      </c>
      <c r="F417" s="262">
        <v>0</v>
      </c>
      <c r="G417" s="285">
        <f>Tabla3[[#This Row],[INGRESOS]]-Tabla3[[#This Row],[EGRESOS]]</f>
        <v>-31091.599999999999</v>
      </c>
      <c r="H417" s="285">
        <v>12020760.75</v>
      </c>
      <c r="I417" s="135">
        <v>1140</v>
      </c>
      <c r="J417" s="136">
        <f>Tabla3[[#This Row],[EGRESOS]]/Tabla3[[#This Row],[TC]]</f>
        <v>27.273333333333333</v>
      </c>
      <c r="K417" s="136">
        <f>Tabla3[[#This Row],[INGRESOS]]/Tabla3[[#This Row],[TC]]</f>
        <v>0</v>
      </c>
      <c r="L417" s="8" t="s">
        <v>303</v>
      </c>
      <c r="M417" s="8" t="s">
        <v>304</v>
      </c>
      <c r="N417" s="8" t="s">
        <v>28</v>
      </c>
      <c r="O417" s="8" t="s">
        <v>184</v>
      </c>
      <c r="P417" s="8" t="s">
        <v>187</v>
      </c>
      <c r="Q417" s="8" t="s">
        <v>188</v>
      </c>
      <c r="R417" s="8" t="s">
        <v>308</v>
      </c>
      <c r="S417" s="8"/>
      <c r="T417" s="8"/>
      <c r="U417" s="8" t="s">
        <v>261</v>
      </c>
      <c r="V417" s="8"/>
      <c r="W417" s="8" t="s">
        <v>306</v>
      </c>
      <c r="X417" s="8" t="s">
        <v>98</v>
      </c>
      <c r="Y417" s="8" t="s">
        <v>23</v>
      </c>
    </row>
    <row r="418" spans="1:25" hidden="1" x14ac:dyDescent="0.25">
      <c r="A418" s="283" t="s">
        <v>242</v>
      </c>
      <c r="B418" s="260">
        <v>45748</v>
      </c>
      <c r="C418" s="261" t="s">
        <v>381</v>
      </c>
      <c r="D418" s="261"/>
      <c r="E418" s="262">
        <v>7104.58</v>
      </c>
      <c r="F418" s="262">
        <v>0</v>
      </c>
      <c r="G418" s="285">
        <f>Tabla3[[#This Row],[INGRESOS]]-Tabla3[[#This Row],[EGRESOS]]</f>
        <v>-7104.58</v>
      </c>
      <c r="H418" s="285">
        <v>12051852.35</v>
      </c>
      <c r="I418" s="135">
        <v>1140</v>
      </c>
      <c r="J418" s="136">
        <f>Tabla3[[#This Row],[EGRESOS]]/Tabla3[[#This Row],[TC]]</f>
        <v>6.2320877192982458</v>
      </c>
      <c r="K418" s="136">
        <f>Tabla3[[#This Row],[INGRESOS]]/Tabla3[[#This Row],[TC]]</f>
        <v>0</v>
      </c>
      <c r="L418" s="8" t="s">
        <v>303</v>
      </c>
      <c r="M418" s="8" t="s">
        <v>304</v>
      </c>
      <c r="N418" s="8" t="s">
        <v>28</v>
      </c>
      <c r="O418" s="8" t="s">
        <v>184</v>
      </c>
      <c r="P418" s="8" t="s">
        <v>187</v>
      </c>
      <c r="Q418" s="8" t="s">
        <v>188</v>
      </c>
      <c r="R418" s="8" t="s">
        <v>339</v>
      </c>
      <c r="S418" s="8"/>
      <c r="T418" s="8"/>
      <c r="U418" s="8" t="s">
        <v>261</v>
      </c>
      <c r="V418" s="8"/>
      <c r="W418" s="8" t="s">
        <v>306</v>
      </c>
      <c r="X418" s="8" t="s">
        <v>98</v>
      </c>
      <c r="Y418" s="8" t="s">
        <v>23</v>
      </c>
    </row>
    <row r="419" spans="1:25" hidden="1" x14ac:dyDescent="0.25">
      <c r="A419" s="283" t="s">
        <v>242</v>
      </c>
      <c r="B419" s="260">
        <v>45748</v>
      </c>
      <c r="C419" s="261" t="s">
        <v>439</v>
      </c>
      <c r="D419" s="261"/>
      <c r="E419" s="262">
        <v>296110.43</v>
      </c>
      <c r="F419" s="262">
        <v>0</v>
      </c>
      <c r="G419" s="285">
        <f>Tabla3[[#This Row],[INGRESOS]]-Tabla3[[#This Row],[EGRESOS]]</f>
        <v>-296110.43</v>
      </c>
      <c r="H419" s="285">
        <v>12058956.93</v>
      </c>
      <c r="I419" s="135">
        <v>1140</v>
      </c>
      <c r="J419" s="136">
        <f>Tabla3[[#This Row],[EGRESOS]]/Tabla3[[#This Row],[TC]]</f>
        <v>259.74599122807018</v>
      </c>
      <c r="K419" s="136">
        <f>Tabla3[[#This Row],[INGRESOS]]/Tabla3[[#This Row],[TC]]</f>
        <v>0</v>
      </c>
      <c r="L419" s="8" t="s">
        <v>303</v>
      </c>
      <c r="M419" s="8" t="s">
        <v>304</v>
      </c>
      <c r="N419" s="8" t="s">
        <v>28</v>
      </c>
      <c r="O419" s="8" t="s">
        <v>184</v>
      </c>
      <c r="P419" s="8" t="s">
        <v>189</v>
      </c>
      <c r="Q419" s="8" t="s">
        <v>190</v>
      </c>
      <c r="R419" s="8"/>
      <c r="S419" s="8"/>
      <c r="T419" s="8"/>
      <c r="U419" s="8" t="s">
        <v>261</v>
      </c>
      <c r="V419" s="8"/>
      <c r="W419" s="8" t="s">
        <v>306</v>
      </c>
      <c r="X419" s="8" t="s">
        <v>98</v>
      </c>
      <c r="Y419" s="8" t="s">
        <v>23</v>
      </c>
    </row>
    <row r="420" spans="1:25" hidden="1" x14ac:dyDescent="0.25">
      <c r="A420" s="283" t="s">
        <v>242</v>
      </c>
      <c r="B420" s="260">
        <v>45750</v>
      </c>
      <c r="C420" s="261" t="s">
        <v>464</v>
      </c>
      <c r="D420" s="261"/>
      <c r="E420" s="262">
        <v>0</v>
      </c>
      <c r="F420" s="262">
        <v>1500000</v>
      </c>
      <c r="G420" s="285">
        <f>Tabla3[[#This Row],[INGRESOS]]-Tabla3[[#This Row],[EGRESOS]]</f>
        <v>1500000</v>
      </c>
      <c r="H420" s="285">
        <v>13514286.6</v>
      </c>
      <c r="I420" s="135">
        <v>1140</v>
      </c>
      <c r="J420" s="136">
        <f>Tabla3[[#This Row],[EGRESOS]]/Tabla3[[#This Row],[TC]]</f>
        <v>0</v>
      </c>
      <c r="K420" s="136">
        <f>Tabla3[[#This Row],[INGRESOS]]/Tabla3[[#This Row],[TC]]</f>
        <v>1315.7894736842106</v>
      </c>
      <c r="L420" s="8" t="s">
        <v>303</v>
      </c>
      <c r="M420" s="8" t="s">
        <v>304</v>
      </c>
      <c r="N420" s="8" t="s">
        <v>28</v>
      </c>
      <c r="O420" s="8" t="s">
        <v>184</v>
      </c>
      <c r="P420" s="8" t="s">
        <v>237</v>
      </c>
      <c r="Q420" s="8" t="s">
        <v>236</v>
      </c>
      <c r="R420" s="8"/>
      <c r="S420" s="8" t="s">
        <v>365</v>
      </c>
      <c r="T420" s="8"/>
      <c r="U420" s="8" t="s">
        <v>273</v>
      </c>
      <c r="V420" s="8"/>
      <c r="W420" s="8" t="s">
        <v>306</v>
      </c>
      <c r="X420" s="8" t="s">
        <v>23</v>
      </c>
      <c r="Y420" s="8" t="s">
        <v>45</v>
      </c>
    </row>
    <row r="421" spans="1:25" hidden="1" x14ac:dyDescent="0.25">
      <c r="A421" s="283" t="s">
        <v>242</v>
      </c>
      <c r="B421" s="260">
        <v>45750</v>
      </c>
      <c r="C421" s="261" t="s">
        <v>464</v>
      </c>
      <c r="D421" s="261"/>
      <c r="E421" s="262">
        <v>0</v>
      </c>
      <c r="F421" s="262">
        <v>800000</v>
      </c>
      <c r="G421" s="285">
        <f>Tabla3[[#This Row],[INGRESOS]]-Tabla3[[#This Row],[EGRESOS]]</f>
        <v>800000</v>
      </c>
      <c r="H421" s="285">
        <v>14314286.6</v>
      </c>
      <c r="I421" s="135">
        <v>1140</v>
      </c>
      <c r="J421" s="136">
        <f>Tabla3[[#This Row],[EGRESOS]]/Tabla3[[#This Row],[TC]]</f>
        <v>0</v>
      </c>
      <c r="K421" s="136">
        <f>Tabla3[[#This Row],[INGRESOS]]/Tabla3[[#This Row],[TC]]</f>
        <v>701.75438596491233</v>
      </c>
      <c r="L421" s="8" t="s">
        <v>303</v>
      </c>
      <c r="M421" s="8" t="s">
        <v>304</v>
      </c>
      <c r="N421" s="8" t="s">
        <v>28</v>
      </c>
      <c r="O421" s="8" t="s">
        <v>184</v>
      </c>
      <c r="P421" s="8" t="s">
        <v>237</v>
      </c>
      <c r="Q421" s="8" t="s">
        <v>236</v>
      </c>
      <c r="R421" s="8"/>
      <c r="S421" s="8" t="s">
        <v>365</v>
      </c>
      <c r="T421" s="8"/>
      <c r="U421" s="8" t="s">
        <v>273</v>
      </c>
      <c r="V421" s="8"/>
      <c r="W421" s="8" t="s">
        <v>306</v>
      </c>
      <c r="X421" s="8" t="s">
        <v>23</v>
      </c>
      <c r="Y421" s="8" t="s">
        <v>45</v>
      </c>
    </row>
    <row r="422" spans="1:25" hidden="1" x14ac:dyDescent="0.25">
      <c r="A422" s="283" t="s">
        <v>242</v>
      </c>
      <c r="B422" s="260">
        <v>45750</v>
      </c>
      <c r="C422" s="261" t="s">
        <v>476</v>
      </c>
      <c r="D422" s="261"/>
      <c r="E422" s="262">
        <v>0</v>
      </c>
      <c r="F422" s="262">
        <v>2087000</v>
      </c>
      <c r="G422" s="285">
        <f>Tabla3[[#This Row],[INGRESOS]]-Tabla3[[#This Row],[EGRESOS]]</f>
        <v>2087000</v>
      </c>
      <c r="H422" s="285">
        <v>16401286.6</v>
      </c>
      <c r="I422" s="135">
        <v>1140</v>
      </c>
      <c r="J422" s="136">
        <f>Tabla3[[#This Row],[EGRESOS]]/Tabla3[[#This Row],[TC]]</f>
        <v>0</v>
      </c>
      <c r="K422" s="136">
        <f>Tabla3[[#This Row],[INGRESOS]]/Tabla3[[#This Row],[TC]]</f>
        <v>1830.7017543859649</v>
      </c>
      <c r="L422" s="8" t="s">
        <v>303</v>
      </c>
      <c r="M422" s="8" t="s">
        <v>304</v>
      </c>
      <c r="N422" s="8" t="s">
        <v>28</v>
      </c>
      <c r="O422" s="8" t="s">
        <v>184</v>
      </c>
      <c r="P422" s="8" t="s">
        <v>237</v>
      </c>
      <c r="Q422" s="8" t="s">
        <v>236</v>
      </c>
      <c r="R422" s="8"/>
      <c r="S422" s="8" t="s">
        <v>365</v>
      </c>
      <c r="T422" s="8"/>
      <c r="U422" s="8" t="s">
        <v>273</v>
      </c>
      <c r="V422" s="8"/>
      <c r="W422" s="8" t="s">
        <v>306</v>
      </c>
      <c r="X422" s="8" t="s">
        <v>23</v>
      </c>
      <c r="Y422" s="8" t="s">
        <v>45</v>
      </c>
    </row>
    <row r="423" spans="1:25" hidden="1" x14ac:dyDescent="0.25">
      <c r="A423" s="283" t="s">
        <v>242</v>
      </c>
      <c r="B423" s="260">
        <v>45750</v>
      </c>
      <c r="C423" s="261" t="s">
        <v>464</v>
      </c>
      <c r="D423" s="261"/>
      <c r="E423" s="262">
        <v>0</v>
      </c>
      <c r="F423" s="262">
        <v>113000</v>
      </c>
      <c r="G423" s="285">
        <f>Tabla3[[#This Row],[INGRESOS]]-Tabla3[[#This Row],[EGRESOS]]</f>
        <v>113000</v>
      </c>
      <c r="H423" s="285">
        <v>16514286.6</v>
      </c>
      <c r="I423" s="135">
        <v>1140</v>
      </c>
      <c r="J423" s="136">
        <f>Tabla3[[#This Row],[EGRESOS]]/Tabla3[[#This Row],[TC]]</f>
        <v>0</v>
      </c>
      <c r="K423" s="136">
        <f>Tabla3[[#This Row],[INGRESOS]]/Tabla3[[#This Row],[TC]]</f>
        <v>99.122807017543863</v>
      </c>
      <c r="L423" s="8" t="s">
        <v>303</v>
      </c>
      <c r="M423" s="8" t="s">
        <v>304</v>
      </c>
      <c r="N423" s="8" t="s">
        <v>28</v>
      </c>
      <c r="O423" s="8" t="s">
        <v>184</v>
      </c>
      <c r="P423" s="8" t="s">
        <v>237</v>
      </c>
      <c r="Q423" s="8" t="s">
        <v>236</v>
      </c>
      <c r="R423" s="8"/>
      <c r="S423" s="8" t="s">
        <v>365</v>
      </c>
      <c r="T423" s="8"/>
      <c r="U423" s="8" t="s">
        <v>273</v>
      </c>
      <c r="V423" s="8"/>
      <c r="W423" s="8" t="s">
        <v>306</v>
      </c>
      <c r="X423" s="8" t="s">
        <v>23</v>
      </c>
      <c r="Y423" s="8" t="s">
        <v>45</v>
      </c>
    </row>
    <row r="424" spans="1:25" hidden="1" x14ac:dyDescent="0.25">
      <c r="A424" s="364" t="s">
        <v>242</v>
      </c>
      <c r="B424" s="365">
        <v>45750</v>
      </c>
      <c r="C424" s="366" t="s">
        <v>477</v>
      </c>
      <c r="D424" s="366"/>
      <c r="E424" s="367">
        <v>17500000</v>
      </c>
      <c r="F424" s="367">
        <v>0</v>
      </c>
      <c r="G424" s="361">
        <f>Tabla3[[#This Row],[INGRESOS]]-Tabla3[[#This Row],[EGRESOS]]</f>
        <v>-17500000</v>
      </c>
      <c r="H424" s="361">
        <v>-6367927.0899999999</v>
      </c>
      <c r="I424" s="360">
        <v>1140</v>
      </c>
      <c r="J424" s="362">
        <f>Tabla3[[#This Row],[EGRESOS]]/Tabla3[[#This Row],[TC]]</f>
        <v>15350.877192982456</v>
      </c>
      <c r="K424" s="362">
        <f>Tabla3[[#This Row],[INGRESOS]]/Tabla3[[#This Row],[TC]]</f>
        <v>0</v>
      </c>
      <c r="L424" s="359" t="s">
        <v>303</v>
      </c>
      <c r="M424" s="359" t="s">
        <v>304</v>
      </c>
      <c r="N424" s="359" t="s">
        <v>28</v>
      </c>
      <c r="O424" s="359" t="s">
        <v>214</v>
      </c>
      <c r="P424" s="359" t="s">
        <v>38</v>
      </c>
      <c r="Q424" s="359" t="s">
        <v>244</v>
      </c>
      <c r="R424" s="359" t="s">
        <v>478</v>
      </c>
      <c r="S424" s="359"/>
      <c r="T424" s="359"/>
      <c r="U424" s="359" t="s">
        <v>274</v>
      </c>
      <c r="V424" s="359"/>
      <c r="W424" s="359" t="s">
        <v>306</v>
      </c>
      <c r="X424" s="359" t="s">
        <v>36</v>
      </c>
      <c r="Y424" s="359" t="s">
        <v>23</v>
      </c>
    </row>
    <row r="425" spans="1:25" hidden="1" x14ac:dyDescent="0.25">
      <c r="A425" s="364" t="s">
        <v>242</v>
      </c>
      <c r="B425" s="365">
        <v>45750</v>
      </c>
      <c r="C425" s="366" t="s">
        <v>477</v>
      </c>
      <c r="D425" s="366"/>
      <c r="E425" s="367">
        <v>5382213.6900000013</v>
      </c>
      <c r="F425" s="367">
        <v>0</v>
      </c>
      <c r="G425" s="361">
        <f>Tabla3[[#This Row],[INGRESOS]]-Tabla3[[#This Row],[EGRESOS]]</f>
        <v>-5382213.6900000013</v>
      </c>
      <c r="H425" s="361">
        <v>-6367927.0899999999</v>
      </c>
      <c r="I425" s="360">
        <v>1140</v>
      </c>
      <c r="J425" s="362">
        <f>Tabla3[[#This Row],[EGRESOS]]/Tabla3[[#This Row],[TC]]</f>
        <v>4721.2400789473695</v>
      </c>
      <c r="K425" s="362">
        <f>Tabla3[[#This Row],[INGRESOS]]/Tabla3[[#This Row],[TC]]</f>
        <v>0</v>
      </c>
      <c r="L425" s="359" t="s">
        <v>303</v>
      </c>
      <c r="M425" s="359" t="s">
        <v>304</v>
      </c>
      <c r="N425" s="359" t="s">
        <v>28</v>
      </c>
      <c r="O425" s="359" t="s">
        <v>214</v>
      </c>
      <c r="P425" s="359" t="s">
        <v>38</v>
      </c>
      <c r="Q425" s="359" t="s">
        <v>244</v>
      </c>
      <c r="R425" s="359" t="s">
        <v>478</v>
      </c>
      <c r="S425" s="359"/>
      <c r="T425" s="359"/>
      <c r="U425" s="359" t="s">
        <v>274</v>
      </c>
      <c r="V425" s="359"/>
      <c r="W425" s="359" t="s">
        <v>306</v>
      </c>
      <c r="X425" s="359" t="s">
        <v>108</v>
      </c>
      <c r="Y425" s="359" t="s">
        <v>23</v>
      </c>
    </row>
    <row r="426" spans="1:25" hidden="1" x14ac:dyDescent="0.25">
      <c r="A426" s="283" t="s">
        <v>242</v>
      </c>
      <c r="B426" s="260">
        <v>45750</v>
      </c>
      <c r="C426" s="261" t="s">
        <v>479</v>
      </c>
      <c r="D426" s="261"/>
      <c r="E426" s="262">
        <v>282723.28999999998</v>
      </c>
      <c r="F426" s="262">
        <v>0</v>
      </c>
      <c r="G426" s="285">
        <f>Tabla3[[#This Row],[INGRESOS]]-Tabla3[[#This Row],[EGRESOS]]</f>
        <v>-282723.28999999998</v>
      </c>
      <c r="H426" s="285">
        <v>-6650650.3799999999</v>
      </c>
      <c r="I426" s="135">
        <v>1140</v>
      </c>
      <c r="J426" s="136">
        <f>Tabla3[[#This Row],[EGRESOS]]/Tabla3[[#This Row],[TC]]</f>
        <v>248.00288596491225</v>
      </c>
      <c r="K426" s="136">
        <f>Tabla3[[#This Row],[INGRESOS]]/Tabla3[[#This Row],[TC]]</f>
        <v>0</v>
      </c>
      <c r="L426" s="8" t="s">
        <v>303</v>
      </c>
      <c r="M426" s="8" t="s">
        <v>304</v>
      </c>
      <c r="N426" s="8" t="s">
        <v>28</v>
      </c>
      <c r="O426" s="8" t="s">
        <v>184</v>
      </c>
      <c r="P426" s="8" t="s">
        <v>187</v>
      </c>
      <c r="Q426" s="8" t="s">
        <v>188</v>
      </c>
      <c r="R426" s="8" t="s">
        <v>480</v>
      </c>
      <c r="S426" s="8"/>
      <c r="T426" s="8"/>
      <c r="U426" s="8" t="s">
        <v>261</v>
      </c>
      <c r="V426" s="8"/>
      <c r="W426" s="8" t="s">
        <v>306</v>
      </c>
      <c r="X426" s="8" t="s">
        <v>98</v>
      </c>
      <c r="Y426" s="8" t="s">
        <v>23</v>
      </c>
    </row>
    <row r="427" spans="1:25" hidden="1" x14ac:dyDescent="0.25">
      <c r="A427" s="283" t="s">
        <v>242</v>
      </c>
      <c r="B427" s="260">
        <v>45750</v>
      </c>
      <c r="C427" s="261" t="s">
        <v>438</v>
      </c>
      <c r="D427" s="261"/>
      <c r="E427" s="262">
        <v>138989.62</v>
      </c>
      <c r="F427" s="262">
        <v>0</v>
      </c>
      <c r="G427" s="285">
        <f>Tabla3[[#This Row],[INGRESOS]]-Tabla3[[#This Row],[EGRESOS]]</f>
        <v>-138989.62</v>
      </c>
      <c r="H427" s="285">
        <v>-6789640</v>
      </c>
      <c r="I427" s="135">
        <v>1140</v>
      </c>
      <c r="J427" s="136">
        <f>Tabla3[[#This Row],[EGRESOS]]/Tabla3[[#This Row],[TC]]</f>
        <v>121.92071929824561</v>
      </c>
      <c r="K427" s="136">
        <f>Tabla3[[#This Row],[INGRESOS]]/Tabla3[[#This Row],[TC]]</f>
        <v>0</v>
      </c>
      <c r="L427" s="8" t="s">
        <v>303</v>
      </c>
      <c r="M427" s="8" t="s">
        <v>304</v>
      </c>
      <c r="N427" s="8" t="s">
        <v>28</v>
      </c>
      <c r="O427" s="8" t="s">
        <v>184</v>
      </c>
      <c r="P427" s="8" t="s">
        <v>187</v>
      </c>
      <c r="Q427" s="8" t="s">
        <v>188</v>
      </c>
      <c r="R427" s="8" t="s">
        <v>317</v>
      </c>
      <c r="S427" s="8"/>
      <c r="T427" s="8"/>
      <c r="U427" s="8" t="s">
        <v>261</v>
      </c>
      <c r="V427" s="8"/>
      <c r="W427" s="8" t="s">
        <v>306</v>
      </c>
      <c r="X427" s="8" t="s">
        <v>98</v>
      </c>
      <c r="Y427" s="8" t="s">
        <v>23</v>
      </c>
    </row>
    <row r="428" spans="1:25" hidden="1" x14ac:dyDescent="0.25">
      <c r="A428" s="283" t="s">
        <v>242</v>
      </c>
      <c r="B428" s="260">
        <v>45750</v>
      </c>
      <c r="C428" s="261" t="s">
        <v>465</v>
      </c>
      <c r="D428" s="261"/>
      <c r="E428" s="262">
        <v>27000</v>
      </c>
      <c r="F428" s="262">
        <v>0</v>
      </c>
      <c r="G428" s="285">
        <f>Tabla3[[#This Row],[INGRESOS]]-Tabla3[[#This Row],[EGRESOS]]</f>
        <v>-27000</v>
      </c>
      <c r="H428" s="285">
        <v>-6816640</v>
      </c>
      <c r="I428" s="135">
        <v>1140</v>
      </c>
      <c r="J428" s="136">
        <f>Tabla3[[#This Row],[EGRESOS]]/Tabla3[[#This Row],[TC]]</f>
        <v>23.684210526315791</v>
      </c>
      <c r="K428" s="136">
        <f>Tabla3[[#This Row],[INGRESOS]]/Tabla3[[#This Row],[TC]]</f>
        <v>0</v>
      </c>
      <c r="L428" s="8" t="s">
        <v>303</v>
      </c>
      <c r="M428" s="8" t="s">
        <v>304</v>
      </c>
      <c r="N428" s="8" t="s">
        <v>28</v>
      </c>
      <c r="O428" s="8" t="s">
        <v>184</v>
      </c>
      <c r="P428" s="8" t="s">
        <v>187</v>
      </c>
      <c r="Q428" s="8" t="s">
        <v>188</v>
      </c>
      <c r="R428" s="8" t="s">
        <v>317</v>
      </c>
      <c r="S428" s="8"/>
      <c r="T428" s="8"/>
      <c r="U428" s="8" t="s">
        <v>261</v>
      </c>
      <c r="V428" s="8"/>
      <c r="W428" s="8" t="s">
        <v>306</v>
      </c>
      <c r="X428" s="8" t="s">
        <v>98</v>
      </c>
      <c r="Y428" s="8" t="s">
        <v>23</v>
      </c>
    </row>
    <row r="429" spans="1:25" hidden="1" x14ac:dyDescent="0.25">
      <c r="A429" s="283" t="s">
        <v>242</v>
      </c>
      <c r="B429" s="260">
        <v>45755</v>
      </c>
      <c r="C429" s="261" t="s">
        <v>446</v>
      </c>
      <c r="D429" s="261"/>
      <c r="E429" s="262">
        <v>10000</v>
      </c>
      <c r="F429" s="262">
        <v>0</v>
      </c>
      <c r="G429" s="285">
        <f>Tabla3[[#This Row],[INGRESOS]]-Tabla3[[#This Row],[EGRESOS]]</f>
        <v>-10000</v>
      </c>
      <c r="H429" s="285">
        <v>-6826640</v>
      </c>
      <c r="I429" s="135">
        <v>1140</v>
      </c>
      <c r="J429" s="136">
        <f>Tabla3[[#This Row],[EGRESOS]]/Tabla3[[#This Row],[TC]]</f>
        <v>8.7719298245614041</v>
      </c>
      <c r="K429" s="136">
        <f>Tabla3[[#This Row],[INGRESOS]]/Tabla3[[#This Row],[TC]]</f>
        <v>0</v>
      </c>
      <c r="L429" s="8" t="s">
        <v>303</v>
      </c>
      <c r="M429" s="8" t="s">
        <v>304</v>
      </c>
      <c r="N429" s="8" t="s">
        <v>28</v>
      </c>
      <c r="O429" s="8" t="s">
        <v>214</v>
      </c>
      <c r="P429" s="8" t="s">
        <v>216</v>
      </c>
      <c r="Q429" s="8" t="s">
        <v>217</v>
      </c>
      <c r="R429" s="8" t="s">
        <v>481</v>
      </c>
      <c r="S429" s="8"/>
      <c r="T429" s="8"/>
      <c r="U429" s="8" t="s">
        <v>262</v>
      </c>
      <c r="V429" s="8"/>
      <c r="W429" s="8"/>
      <c r="X429" s="8"/>
      <c r="Y429" s="8"/>
    </row>
    <row r="430" spans="1:25" hidden="1" x14ac:dyDescent="0.25">
      <c r="A430" s="283" t="s">
        <v>242</v>
      </c>
      <c r="B430" s="260">
        <v>45755</v>
      </c>
      <c r="C430" s="261" t="s">
        <v>482</v>
      </c>
      <c r="D430" s="261"/>
      <c r="E430" s="262">
        <v>0</v>
      </c>
      <c r="F430" s="262">
        <v>10000000</v>
      </c>
      <c r="G430" s="285">
        <f>Tabla3[[#This Row],[INGRESOS]]-Tabla3[[#This Row],[EGRESOS]]</f>
        <v>10000000</v>
      </c>
      <c r="H430" s="285">
        <v>3173360</v>
      </c>
      <c r="I430" s="135">
        <v>1140</v>
      </c>
      <c r="J430" s="136">
        <f>Tabla3[[#This Row],[EGRESOS]]/Tabla3[[#This Row],[TC]]</f>
        <v>0</v>
      </c>
      <c r="K430" s="136">
        <f>Tabla3[[#This Row],[INGRESOS]]/Tabla3[[#This Row],[TC]]</f>
        <v>8771.9298245614027</v>
      </c>
      <c r="L430" s="8" t="s">
        <v>303</v>
      </c>
      <c r="M430" s="8" t="s">
        <v>304</v>
      </c>
      <c r="N430" s="8" t="s">
        <v>28</v>
      </c>
      <c r="O430" s="8" t="s">
        <v>214</v>
      </c>
      <c r="P430" s="8" t="s">
        <v>218</v>
      </c>
      <c r="Q430" s="8" t="s">
        <v>906</v>
      </c>
      <c r="R430" s="8" t="s">
        <v>906</v>
      </c>
      <c r="S430" s="8" t="s">
        <v>28</v>
      </c>
      <c r="T430" s="8"/>
      <c r="U430" s="8" t="s">
        <v>264</v>
      </c>
      <c r="V430" s="8"/>
      <c r="W430" s="8" t="s">
        <v>306</v>
      </c>
      <c r="X430" s="8" t="s">
        <v>23</v>
      </c>
      <c r="Y430" s="8" t="s">
        <v>92</v>
      </c>
    </row>
    <row r="431" spans="1:25" hidden="1" x14ac:dyDescent="0.25">
      <c r="A431" s="283" t="s">
        <v>242</v>
      </c>
      <c r="B431" s="260">
        <v>45756</v>
      </c>
      <c r="C431" s="261" t="s">
        <v>446</v>
      </c>
      <c r="D431" s="261"/>
      <c r="E431" s="262">
        <v>300000</v>
      </c>
      <c r="F431" s="262">
        <v>0</v>
      </c>
      <c r="G431" s="285">
        <f>Tabla3[[#This Row],[INGRESOS]]-Tabla3[[#This Row],[EGRESOS]]</f>
        <v>-300000</v>
      </c>
      <c r="H431" s="285">
        <v>2873360</v>
      </c>
      <c r="I431" s="135">
        <v>1140</v>
      </c>
      <c r="J431" s="136">
        <f>Tabla3[[#This Row],[EGRESOS]]/Tabla3[[#This Row],[TC]]</f>
        <v>263.15789473684208</v>
      </c>
      <c r="K431" s="136">
        <f>Tabla3[[#This Row],[INGRESOS]]/Tabla3[[#This Row],[TC]]</f>
        <v>0</v>
      </c>
      <c r="L431" s="8" t="s">
        <v>303</v>
      </c>
      <c r="M431" s="8" t="s">
        <v>304</v>
      </c>
      <c r="N431" s="8" t="s">
        <v>28</v>
      </c>
      <c r="O431" s="8" t="s">
        <v>214</v>
      </c>
      <c r="P431" s="8" t="s">
        <v>216</v>
      </c>
      <c r="Q431" s="8" t="s">
        <v>217</v>
      </c>
      <c r="R431" s="8" t="s">
        <v>305</v>
      </c>
      <c r="S431" s="8"/>
      <c r="T431" s="8"/>
      <c r="U431" s="8" t="s">
        <v>262</v>
      </c>
      <c r="V431" s="8"/>
      <c r="W431" s="8"/>
      <c r="X431" s="8"/>
      <c r="Y431" s="8"/>
    </row>
    <row r="432" spans="1:25" hidden="1" x14ac:dyDescent="0.25">
      <c r="A432" s="283" t="s">
        <v>242</v>
      </c>
      <c r="B432" s="260">
        <v>45756</v>
      </c>
      <c r="C432" s="261" t="s">
        <v>440</v>
      </c>
      <c r="D432" s="261"/>
      <c r="E432" s="262">
        <v>416620</v>
      </c>
      <c r="F432" s="262">
        <v>0</v>
      </c>
      <c r="G432" s="285">
        <f>Tabla3[[#This Row],[INGRESOS]]-Tabla3[[#This Row],[EGRESOS]]</f>
        <v>-416620</v>
      </c>
      <c r="H432" s="285">
        <v>2456740</v>
      </c>
      <c r="I432" s="135">
        <v>1140</v>
      </c>
      <c r="J432" s="136">
        <f>Tabla3[[#This Row],[EGRESOS]]/Tabla3[[#This Row],[TC]]</f>
        <v>365.45614035087721</v>
      </c>
      <c r="K432" s="136">
        <f>Tabla3[[#This Row],[INGRESOS]]/Tabla3[[#This Row],[TC]]</f>
        <v>0</v>
      </c>
      <c r="L432" s="8" t="s">
        <v>303</v>
      </c>
      <c r="M432" s="8" t="s">
        <v>304</v>
      </c>
      <c r="N432" s="8" t="s">
        <v>28</v>
      </c>
      <c r="O432" s="8" t="s">
        <v>197</v>
      </c>
      <c r="P432" s="8" t="s">
        <v>198</v>
      </c>
      <c r="Q432" s="8" t="s">
        <v>199</v>
      </c>
      <c r="R432" s="8" t="s">
        <v>226</v>
      </c>
      <c r="S432" s="8" t="s">
        <v>319</v>
      </c>
      <c r="T432" s="8"/>
      <c r="U432" s="8" t="s">
        <v>258</v>
      </c>
      <c r="V432" s="8"/>
      <c r="W432" s="8" t="s">
        <v>306</v>
      </c>
      <c r="X432" s="8" t="s">
        <v>29</v>
      </c>
      <c r="Y432" s="8" t="s">
        <v>23</v>
      </c>
    </row>
    <row r="433" spans="1:25" hidden="1" x14ac:dyDescent="0.25">
      <c r="A433" s="283" t="s">
        <v>242</v>
      </c>
      <c r="B433" s="260">
        <v>45756</v>
      </c>
      <c r="C433" s="261" t="s">
        <v>440</v>
      </c>
      <c r="D433" s="261"/>
      <c r="E433" s="262">
        <v>444371.68</v>
      </c>
      <c r="F433" s="262">
        <v>0</v>
      </c>
      <c r="G433" s="285">
        <f>Tabla3[[#This Row],[INGRESOS]]-Tabla3[[#This Row],[EGRESOS]]</f>
        <v>-444371.68</v>
      </c>
      <c r="H433" s="285">
        <v>2012368.32</v>
      </c>
      <c r="I433" s="135">
        <v>1140</v>
      </c>
      <c r="J433" s="136">
        <f>Tabla3[[#This Row],[EGRESOS]]/Tabla3[[#This Row],[TC]]</f>
        <v>389.79971929824563</v>
      </c>
      <c r="K433" s="136">
        <f>Tabla3[[#This Row],[INGRESOS]]/Tabla3[[#This Row],[TC]]</f>
        <v>0</v>
      </c>
      <c r="L433" s="8" t="s">
        <v>303</v>
      </c>
      <c r="M433" s="8" t="s">
        <v>304</v>
      </c>
      <c r="N433" s="8" t="s">
        <v>28</v>
      </c>
      <c r="O433" s="8" t="s">
        <v>184</v>
      </c>
      <c r="P433" s="8" t="s">
        <v>191</v>
      </c>
      <c r="Q433" s="8" t="s">
        <v>193</v>
      </c>
      <c r="R433" s="8" t="s">
        <v>483</v>
      </c>
      <c r="S433" s="8" t="s">
        <v>315</v>
      </c>
      <c r="T433" s="8"/>
      <c r="U433" s="8" t="s">
        <v>266</v>
      </c>
      <c r="V433" s="8"/>
      <c r="W433" s="8" t="s">
        <v>306</v>
      </c>
      <c r="X433" s="8" t="s">
        <v>98</v>
      </c>
      <c r="Y433" s="8" t="s">
        <v>23</v>
      </c>
    </row>
    <row r="434" spans="1:25" hidden="1" x14ac:dyDescent="0.25">
      <c r="A434" s="283" t="s">
        <v>242</v>
      </c>
      <c r="B434" s="260">
        <v>45756</v>
      </c>
      <c r="C434" s="261" t="s">
        <v>446</v>
      </c>
      <c r="D434" s="261"/>
      <c r="E434" s="262">
        <v>350000</v>
      </c>
      <c r="F434" s="262">
        <v>0</v>
      </c>
      <c r="G434" s="285">
        <f>Tabla3[[#This Row],[INGRESOS]]-Tabla3[[#This Row],[EGRESOS]]</f>
        <v>-350000</v>
      </c>
      <c r="H434" s="285">
        <v>1662368.32</v>
      </c>
      <c r="I434" s="135">
        <v>1140</v>
      </c>
      <c r="J434" s="136">
        <f>Tabla3[[#This Row],[EGRESOS]]/Tabla3[[#This Row],[TC]]</f>
        <v>307.01754385964909</v>
      </c>
      <c r="K434" s="136">
        <f>Tabla3[[#This Row],[INGRESOS]]/Tabla3[[#This Row],[TC]]</f>
        <v>0</v>
      </c>
      <c r="L434" s="8" t="s">
        <v>303</v>
      </c>
      <c r="M434" s="8" t="s">
        <v>304</v>
      </c>
      <c r="N434" s="8" t="s">
        <v>28</v>
      </c>
      <c r="O434" s="8" t="s">
        <v>214</v>
      </c>
      <c r="P434" s="8" t="s">
        <v>216</v>
      </c>
      <c r="Q434" s="8" t="s">
        <v>217</v>
      </c>
      <c r="R434" s="8" t="s">
        <v>484</v>
      </c>
      <c r="S434" s="8"/>
      <c r="T434" s="8"/>
      <c r="U434" s="8" t="s">
        <v>262</v>
      </c>
      <c r="V434" s="8"/>
      <c r="W434" s="8"/>
      <c r="X434" s="8"/>
      <c r="Y434" s="8"/>
    </row>
    <row r="435" spans="1:25" hidden="1" x14ac:dyDescent="0.25">
      <c r="A435" s="283" t="s">
        <v>242</v>
      </c>
      <c r="B435" s="260">
        <v>45756</v>
      </c>
      <c r="C435" s="261" t="s">
        <v>440</v>
      </c>
      <c r="D435" s="261"/>
      <c r="E435" s="262">
        <v>2000000</v>
      </c>
      <c r="F435" s="262">
        <v>0</v>
      </c>
      <c r="G435" s="285">
        <f>Tabla3[[#This Row],[INGRESOS]]-Tabla3[[#This Row],[EGRESOS]]</f>
        <v>-2000000</v>
      </c>
      <c r="H435" s="285">
        <v>-337631.68</v>
      </c>
      <c r="I435" s="135">
        <v>1140</v>
      </c>
      <c r="J435" s="136">
        <f>Tabla3[[#This Row],[EGRESOS]]/Tabla3[[#This Row],[TC]]</f>
        <v>1754.3859649122808</v>
      </c>
      <c r="K435" s="136">
        <f>Tabla3[[#This Row],[INGRESOS]]/Tabla3[[#This Row],[TC]]</f>
        <v>0</v>
      </c>
      <c r="L435" s="8" t="s">
        <v>303</v>
      </c>
      <c r="M435" s="8" t="s">
        <v>304</v>
      </c>
      <c r="N435" s="8" t="s">
        <v>28</v>
      </c>
      <c r="O435" s="8" t="s">
        <v>184</v>
      </c>
      <c r="P435" s="8" t="s">
        <v>194</v>
      </c>
      <c r="Q435" s="8" t="s">
        <v>196</v>
      </c>
      <c r="R435" s="8"/>
      <c r="S435" s="8" t="s">
        <v>311</v>
      </c>
      <c r="T435" s="8"/>
      <c r="U435" s="8" t="s">
        <v>277</v>
      </c>
      <c r="V435" s="8" t="s">
        <v>311</v>
      </c>
      <c r="W435" s="8" t="s">
        <v>306</v>
      </c>
      <c r="X435" s="8" t="s">
        <v>103</v>
      </c>
      <c r="Y435" s="8" t="s">
        <v>23</v>
      </c>
    </row>
    <row r="436" spans="1:25" hidden="1" x14ac:dyDescent="0.25">
      <c r="A436" s="283" t="s">
        <v>242</v>
      </c>
      <c r="B436" s="260">
        <v>45756</v>
      </c>
      <c r="C436" s="261" t="s">
        <v>440</v>
      </c>
      <c r="D436" s="261"/>
      <c r="E436" s="262">
        <v>1050000</v>
      </c>
      <c r="F436" s="262">
        <v>0</v>
      </c>
      <c r="G436" s="285">
        <f>Tabla3[[#This Row],[INGRESOS]]-Tabla3[[#This Row],[EGRESOS]]</f>
        <v>-1050000</v>
      </c>
      <c r="H436" s="285">
        <v>-1387631.68</v>
      </c>
      <c r="I436" s="135">
        <v>1140</v>
      </c>
      <c r="J436" s="136">
        <f>Tabla3[[#This Row],[EGRESOS]]/Tabla3[[#This Row],[TC]]</f>
        <v>921.0526315789474</v>
      </c>
      <c r="K436" s="136">
        <f>Tabla3[[#This Row],[INGRESOS]]/Tabla3[[#This Row],[TC]]</f>
        <v>0</v>
      </c>
      <c r="L436" s="8" t="s">
        <v>303</v>
      </c>
      <c r="M436" s="8" t="s">
        <v>304</v>
      </c>
      <c r="N436" s="8" t="s">
        <v>28</v>
      </c>
      <c r="O436" s="8" t="s">
        <v>184</v>
      </c>
      <c r="P436" s="8" t="s">
        <v>191</v>
      </c>
      <c r="Q436" s="8" t="s">
        <v>193</v>
      </c>
      <c r="R436" s="8" t="s">
        <v>485</v>
      </c>
      <c r="S436" s="8" t="s">
        <v>313</v>
      </c>
      <c r="T436" s="8"/>
      <c r="U436" s="8" t="s">
        <v>266</v>
      </c>
      <c r="V436" s="8"/>
      <c r="W436" s="8" t="s">
        <v>306</v>
      </c>
      <c r="X436" s="8" t="s">
        <v>98</v>
      </c>
      <c r="Y436" s="8" t="s">
        <v>23</v>
      </c>
    </row>
    <row r="437" spans="1:25" hidden="1" x14ac:dyDescent="0.25">
      <c r="A437" s="283" t="s">
        <v>242</v>
      </c>
      <c r="B437" s="260">
        <v>45756</v>
      </c>
      <c r="C437" s="261" t="s">
        <v>446</v>
      </c>
      <c r="D437" s="261"/>
      <c r="E437" s="262">
        <v>4300000</v>
      </c>
      <c r="F437" s="262">
        <v>0</v>
      </c>
      <c r="G437" s="285">
        <f>Tabla3[[#This Row],[INGRESOS]]-Tabla3[[#This Row],[EGRESOS]]</f>
        <v>-4300000</v>
      </c>
      <c r="H437" s="285">
        <v>-5687631.6799999997</v>
      </c>
      <c r="I437" s="135">
        <v>1140</v>
      </c>
      <c r="J437" s="136">
        <f>Tabla3[[#This Row],[EGRESOS]]/Tabla3[[#This Row],[TC]]</f>
        <v>3771.9298245614036</v>
      </c>
      <c r="K437" s="136">
        <f>Tabla3[[#This Row],[INGRESOS]]/Tabla3[[#This Row],[TC]]</f>
        <v>0</v>
      </c>
      <c r="L437" s="8" t="s">
        <v>303</v>
      </c>
      <c r="M437" s="8" t="s">
        <v>304</v>
      </c>
      <c r="N437" s="8" t="s">
        <v>28</v>
      </c>
      <c r="O437" s="8" t="s">
        <v>214</v>
      </c>
      <c r="P437" s="8" t="s">
        <v>216</v>
      </c>
      <c r="Q437" s="8" t="s">
        <v>217</v>
      </c>
      <c r="R437" s="8" t="s">
        <v>305</v>
      </c>
      <c r="S437" s="8"/>
      <c r="T437" s="8"/>
      <c r="U437" s="8" t="s">
        <v>262</v>
      </c>
      <c r="V437" s="8"/>
      <c r="W437" s="8"/>
      <c r="X437" s="8"/>
      <c r="Y437" s="8"/>
    </row>
    <row r="438" spans="1:25" hidden="1" x14ac:dyDescent="0.25">
      <c r="A438" s="283" t="s">
        <v>242</v>
      </c>
      <c r="B438" s="260">
        <v>45756</v>
      </c>
      <c r="C438" s="261" t="s">
        <v>440</v>
      </c>
      <c r="D438" s="261"/>
      <c r="E438" s="262">
        <v>50000</v>
      </c>
      <c r="F438" s="262">
        <v>0</v>
      </c>
      <c r="G438" s="285">
        <f>Tabla3[[#This Row],[INGRESOS]]-Tabla3[[#This Row],[EGRESOS]]</f>
        <v>-50000</v>
      </c>
      <c r="H438" s="285">
        <v>-5737631.6799999997</v>
      </c>
      <c r="I438" s="135">
        <v>1140</v>
      </c>
      <c r="J438" s="136">
        <f>Tabla3[[#This Row],[EGRESOS]]/Tabla3[[#This Row],[TC]]</f>
        <v>43.859649122807021</v>
      </c>
      <c r="K438" s="136">
        <f>Tabla3[[#This Row],[INGRESOS]]/Tabla3[[#This Row],[TC]]</f>
        <v>0</v>
      </c>
      <c r="L438" s="8" t="s">
        <v>303</v>
      </c>
      <c r="M438" s="8" t="s">
        <v>304</v>
      </c>
      <c r="N438" s="8" t="s">
        <v>28</v>
      </c>
      <c r="O438" s="8" t="s">
        <v>197</v>
      </c>
      <c r="P438" s="8" t="s">
        <v>198</v>
      </c>
      <c r="Q438" s="8" t="s">
        <v>221</v>
      </c>
      <c r="R438" s="8" t="s">
        <v>828</v>
      </c>
      <c r="S438" s="8" t="s">
        <v>486</v>
      </c>
      <c r="T438" s="8"/>
      <c r="U438" s="8" t="s">
        <v>258</v>
      </c>
      <c r="V438" s="8"/>
      <c r="W438" s="8" t="s">
        <v>306</v>
      </c>
      <c r="X438" s="8" t="s">
        <v>29</v>
      </c>
      <c r="Y438" s="8" t="s">
        <v>23</v>
      </c>
    </row>
    <row r="439" spans="1:25" hidden="1" x14ac:dyDescent="0.25">
      <c r="A439" s="283" t="s">
        <v>242</v>
      </c>
      <c r="B439" s="260">
        <v>45756</v>
      </c>
      <c r="C439" s="261" t="s">
        <v>438</v>
      </c>
      <c r="D439" s="261"/>
      <c r="E439" s="262">
        <v>23765.95</v>
      </c>
      <c r="F439" s="262">
        <v>0</v>
      </c>
      <c r="G439" s="285">
        <f>Tabla3[[#This Row],[INGRESOS]]-Tabla3[[#This Row],[EGRESOS]]</f>
        <v>-23765.95</v>
      </c>
      <c r="H439" s="285">
        <v>-5761397.6299999999</v>
      </c>
      <c r="I439" s="135">
        <v>1140</v>
      </c>
      <c r="J439" s="136">
        <f>Tabla3[[#This Row],[EGRESOS]]/Tabla3[[#This Row],[TC]]</f>
        <v>20.847324561403511</v>
      </c>
      <c r="K439" s="136">
        <f>Tabla3[[#This Row],[INGRESOS]]/Tabla3[[#This Row],[TC]]</f>
        <v>0</v>
      </c>
      <c r="L439" s="8" t="s">
        <v>303</v>
      </c>
      <c r="M439" s="8" t="s">
        <v>304</v>
      </c>
      <c r="N439" s="8" t="s">
        <v>28</v>
      </c>
      <c r="O439" s="8" t="s">
        <v>184</v>
      </c>
      <c r="P439" s="8" t="s">
        <v>187</v>
      </c>
      <c r="Q439" s="8" t="s">
        <v>188</v>
      </c>
      <c r="R439" s="8" t="s">
        <v>317</v>
      </c>
      <c r="S439" s="8"/>
      <c r="T439" s="8"/>
      <c r="U439" s="8" t="s">
        <v>261</v>
      </c>
      <c r="V439" s="8"/>
      <c r="W439" s="8" t="s">
        <v>306</v>
      </c>
      <c r="X439" s="8" t="s">
        <v>29</v>
      </c>
      <c r="Y439" s="8" t="s">
        <v>23</v>
      </c>
    </row>
    <row r="440" spans="1:25" hidden="1" x14ac:dyDescent="0.25">
      <c r="A440" s="283" t="s">
        <v>242</v>
      </c>
      <c r="B440" s="260">
        <v>45757</v>
      </c>
      <c r="C440" s="261" t="s">
        <v>482</v>
      </c>
      <c r="D440" s="261"/>
      <c r="E440" s="262">
        <v>0</v>
      </c>
      <c r="F440" s="262">
        <v>7500000</v>
      </c>
      <c r="G440" s="285">
        <f>Tabla3[[#This Row],[INGRESOS]]-Tabla3[[#This Row],[EGRESOS]]</f>
        <v>7500000</v>
      </c>
      <c r="H440" s="285">
        <f>Tabla3[[#This Row],[INGRESOS]]-Tabla3[[#This Row],[EGRESOS]]</f>
        <v>7500000</v>
      </c>
      <c r="I440" s="135">
        <v>1140</v>
      </c>
      <c r="J440" s="136">
        <f>Tabla3[[#This Row],[EGRESOS]]/Tabla3[[#This Row],[TC]]</f>
        <v>0</v>
      </c>
      <c r="K440" s="136">
        <f>Tabla3[[#This Row],[INGRESOS]]/Tabla3[[#This Row],[TC]]</f>
        <v>6578.9473684210525</v>
      </c>
      <c r="L440" s="8" t="s">
        <v>303</v>
      </c>
      <c r="M440" s="8" t="s">
        <v>304</v>
      </c>
      <c r="N440" s="8" t="s">
        <v>28</v>
      </c>
      <c r="O440" s="8" t="s">
        <v>214</v>
      </c>
      <c r="P440" s="8" t="s">
        <v>218</v>
      </c>
      <c r="Q440" s="8" t="s">
        <v>906</v>
      </c>
      <c r="R440" s="8" t="s">
        <v>906</v>
      </c>
      <c r="S440" s="8" t="s">
        <v>28</v>
      </c>
      <c r="T440" s="8"/>
      <c r="U440" s="8" t="s">
        <v>264</v>
      </c>
      <c r="V440" s="8"/>
      <c r="W440" s="8" t="s">
        <v>306</v>
      </c>
      <c r="X440" s="8" t="s">
        <v>23</v>
      </c>
      <c r="Y440" s="8" t="s">
        <v>92</v>
      </c>
    </row>
    <row r="441" spans="1:25" hidden="1" x14ac:dyDescent="0.25">
      <c r="A441" s="283" t="s">
        <v>242</v>
      </c>
      <c r="B441" s="260">
        <v>45757</v>
      </c>
      <c r="C441" s="261" t="s">
        <v>446</v>
      </c>
      <c r="D441" s="261"/>
      <c r="E441" s="262">
        <v>3000000</v>
      </c>
      <c r="F441" s="262">
        <v>0</v>
      </c>
      <c r="G441" s="285">
        <f>Tabla3[[#This Row],[INGRESOS]]-Tabla3[[#This Row],[EGRESOS]]</f>
        <v>-3000000</v>
      </c>
      <c r="H441" s="285">
        <f>Tabla3[[#This Row],[INGRESOS]]-Tabla3[[#This Row],[EGRESOS]]</f>
        <v>-3000000</v>
      </c>
      <c r="I441" s="135">
        <v>1140</v>
      </c>
      <c r="J441" s="136">
        <f>Tabla3[[#This Row],[EGRESOS]]/Tabla3[[#This Row],[TC]]</f>
        <v>2631.5789473684213</v>
      </c>
      <c r="K441" s="136">
        <f>Tabla3[[#This Row],[INGRESOS]]/Tabla3[[#This Row],[TC]]</f>
        <v>0</v>
      </c>
      <c r="L441" s="8" t="s">
        <v>303</v>
      </c>
      <c r="M441" s="8" t="s">
        <v>304</v>
      </c>
      <c r="N441" s="8" t="s">
        <v>28</v>
      </c>
      <c r="O441" s="8" t="s">
        <v>214</v>
      </c>
      <c r="P441" s="8" t="s">
        <v>216</v>
      </c>
      <c r="Q441" s="8" t="s">
        <v>217</v>
      </c>
      <c r="R441" s="8" t="s">
        <v>488</v>
      </c>
      <c r="S441" s="8" t="s">
        <v>489</v>
      </c>
      <c r="T441" s="8"/>
      <c r="U441" s="8" t="s">
        <v>262</v>
      </c>
      <c r="V441" s="8"/>
      <c r="W441" s="8"/>
      <c r="X441" s="8"/>
      <c r="Y441" s="8"/>
    </row>
    <row r="442" spans="1:25" hidden="1" x14ac:dyDescent="0.25">
      <c r="A442" s="283" t="s">
        <v>242</v>
      </c>
      <c r="B442" s="260">
        <v>45757</v>
      </c>
      <c r="C442" s="261" t="s">
        <v>438</v>
      </c>
      <c r="D442" s="261"/>
      <c r="E442" s="262">
        <v>300</v>
      </c>
      <c r="F442" s="262">
        <v>0</v>
      </c>
      <c r="G442" s="285">
        <f>Tabla3[[#This Row],[INGRESOS]]-Tabla3[[#This Row],[EGRESOS]]</f>
        <v>-300</v>
      </c>
      <c r="H442" s="285">
        <f>Tabla3[[#This Row],[INGRESOS]]-Tabla3[[#This Row],[EGRESOS]]</f>
        <v>-300</v>
      </c>
      <c r="I442" s="135">
        <v>1140</v>
      </c>
      <c r="J442" s="136">
        <f>Tabla3[[#This Row],[EGRESOS]]/Tabla3[[#This Row],[TC]]</f>
        <v>0.26315789473684209</v>
      </c>
      <c r="K442" s="136">
        <f>Tabla3[[#This Row],[INGRESOS]]/Tabla3[[#This Row],[TC]]</f>
        <v>0</v>
      </c>
      <c r="L442" s="8" t="s">
        <v>303</v>
      </c>
      <c r="M442" s="8" t="s">
        <v>304</v>
      </c>
      <c r="N442" s="8" t="s">
        <v>28</v>
      </c>
      <c r="O442" s="8" t="s">
        <v>184</v>
      </c>
      <c r="P442" s="8" t="s">
        <v>187</v>
      </c>
      <c r="Q442" s="8" t="s">
        <v>188</v>
      </c>
      <c r="R442" s="8" t="s">
        <v>317</v>
      </c>
      <c r="S442" s="8"/>
      <c r="T442" s="8"/>
      <c r="U442" s="8" t="s">
        <v>261</v>
      </c>
      <c r="V442" s="8"/>
      <c r="W442" s="8" t="s">
        <v>306</v>
      </c>
      <c r="X442" s="8" t="s">
        <v>98</v>
      </c>
      <c r="Y442" s="8" t="s">
        <v>23</v>
      </c>
    </row>
    <row r="443" spans="1:25" hidden="1" x14ac:dyDescent="0.25">
      <c r="A443" s="283" t="s">
        <v>242</v>
      </c>
      <c r="B443" s="260">
        <v>45761</v>
      </c>
      <c r="C443" s="261" t="s">
        <v>440</v>
      </c>
      <c r="D443" s="261"/>
      <c r="E443" s="262">
        <v>550000</v>
      </c>
      <c r="F443" s="262">
        <v>0</v>
      </c>
      <c r="G443" s="285">
        <f>Tabla3[[#This Row],[INGRESOS]]-Tabla3[[#This Row],[EGRESOS]]</f>
        <v>-550000</v>
      </c>
      <c r="H443" s="285">
        <v>-2346520.63</v>
      </c>
      <c r="I443" s="135">
        <v>1140</v>
      </c>
      <c r="J443" s="136">
        <f>Tabla3[[#This Row],[EGRESOS]]/Tabla3[[#This Row],[TC]]</f>
        <v>482.45614035087721</v>
      </c>
      <c r="K443" s="136">
        <f>Tabla3[[#This Row],[INGRESOS]]/Tabla3[[#This Row],[TC]]</f>
        <v>0</v>
      </c>
      <c r="L443" s="8" t="s">
        <v>303</v>
      </c>
      <c r="M443" s="8" t="s">
        <v>304</v>
      </c>
      <c r="N443" s="8" t="s">
        <v>28</v>
      </c>
      <c r="O443" s="8" t="s">
        <v>184</v>
      </c>
      <c r="P443" s="8" t="s">
        <v>237</v>
      </c>
      <c r="Q443" s="8" t="s">
        <v>248</v>
      </c>
      <c r="R443" s="8"/>
      <c r="S443" s="8" t="s">
        <v>418</v>
      </c>
      <c r="T443" s="8"/>
      <c r="U443" s="8" t="s">
        <v>273</v>
      </c>
      <c r="V443" s="8"/>
      <c r="W443" s="8" t="s">
        <v>306</v>
      </c>
      <c r="X443" s="8" t="s">
        <v>39</v>
      </c>
      <c r="Y443" s="8" t="s">
        <v>23</v>
      </c>
    </row>
    <row r="444" spans="1:25" hidden="1" x14ac:dyDescent="0.25">
      <c r="A444" s="283" t="s">
        <v>242</v>
      </c>
      <c r="B444" s="260">
        <v>45761</v>
      </c>
      <c r="C444" s="261" t="s">
        <v>440</v>
      </c>
      <c r="D444" s="261"/>
      <c r="E444" s="262">
        <v>52644.52</v>
      </c>
      <c r="F444" s="262">
        <v>0</v>
      </c>
      <c r="G444" s="285">
        <f>Tabla3[[#This Row],[INGRESOS]]-Tabla3[[#This Row],[EGRESOS]]</f>
        <v>-52644.52</v>
      </c>
      <c r="H444" s="285">
        <v>-2346520.63</v>
      </c>
      <c r="I444" s="135">
        <v>1140</v>
      </c>
      <c r="J444" s="136">
        <f>Tabla3[[#This Row],[EGRESOS]]/Tabla3[[#This Row],[TC]]</f>
        <v>46.179403508771927</v>
      </c>
      <c r="K444" s="136">
        <f>Tabla3[[#This Row],[INGRESOS]]/Tabla3[[#This Row],[TC]]</f>
        <v>0</v>
      </c>
      <c r="L444" s="8" t="s">
        <v>303</v>
      </c>
      <c r="M444" s="8" t="s">
        <v>304</v>
      </c>
      <c r="N444" s="8" t="s">
        <v>28</v>
      </c>
      <c r="O444" s="8" t="s">
        <v>184</v>
      </c>
      <c r="P444" s="8" t="s">
        <v>191</v>
      </c>
      <c r="Q444" s="8" t="s">
        <v>193</v>
      </c>
      <c r="R444" s="8" t="s">
        <v>490</v>
      </c>
      <c r="S444" s="8" t="s">
        <v>313</v>
      </c>
      <c r="T444" s="8"/>
      <c r="U444" s="8" t="s">
        <v>266</v>
      </c>
      <c r="V444" s="8"/>
      <c r="W444" s="8" t="s">
        <v>306</v>
      </c>
      <c r="X444" s="8" t="s">
        <v>98</v>
      </c>
      <c r="Y444" s="8" t="s">
        <v>23</v>
      </c>
    </row>
    <row r="445" spans="1:25" hidden="1" x14ac:dyDescent="0.25">
      <c r="A445" s="283" t="s">
        <v>242</v>
      </c>
      <c r="B445" s="260">
        <v>45761</v>
      </c>
      <c r="C445" s="261" t="s">
        <v>440</v>
      </c>
      <c r="D445" s="261"/>
      <c r="E445" s="262">
        <v>150000</v>
      </c>
      <c r="F445" s="262">
        <v>0</v>
      </c>
      <c r="G445" s="285">
        <f>Tabla3[[#This Row],[INGRESOS]]-Tabla3[[#This Row],[EGRESOS]]</f>
        <v>-150000</v>
      </c>
      <c r="H445" s="285">
        <v>-2346520.63</v>
      </c>
      <c r="I445" s="135">
        <v>1140</v>
      </c>
      <c r="J445" s="136">
        <f>Tabla3[[#This Row],[EGRESOS]]/Tabla3[[#This Row],[TC]]</f>
        <v>131.57894736842104</v>
      </c>
      <c r="K445" s="136">
        <f>Tabla3[[#This Row],[INGRESOS]]/Tabla3[[#This Row],[TC]]</f>
        <v>0</v>
      </c>
      <c r="L445" s="8" t="s">
        <v>303</v>
      </c>
      <c r="M445" s="8" t="s">
        <v>304</v>
      </c>
      <c r="N445" s="8" t="s">
        <v>28</v>
      </c>
      <c r="O445" s="8" t="s">
        <v>184</v>
      </c>
      <c r="P445" s="8" t="s">
        <v>191</v>
      </c>
      <c r="Q445" s="8" t="s">
        <v>192</v>
      </c>
      <c r="R445" s="8"/>
      <c r="S445" s="8" t="s">
        <v>431</v>
      </c>
      <c r="T445" s="8"/>
      <c r="U445" s="8" t="s">
        <v>266</v>
      </c>
      <c r="V445" s="8"/>
      <c r="W445" s="8" t="s">
        <v>306</v>
      </c>
      <c r="X445" s="8" t="s">
        <v>98</v>
      </c>
      <c r="Y445" s="8" t="s">
        <v>23</v>
      </c>
    </row>
    <row r="446" spans="1:25" hidden="1" x14ac:dyDescent="0.25">
      <c r="A446" s="283" t="s">
        <v>242</v>
      </c>
      <c r="B446" s="260">
        <v>45761</v>
      </c>
      <c r="C446" s="261" t="s">
        <v>440</v>
      </c>
      <c r="D446" s="261"/>
      <c r="E446" s="262">
        <v>33079</v>
      </c>
      <c r="F446" s="262">
        <v>0</v>
      </c>
      <c r="G446" s="285">
        <f>Tabla3[[#This Row],[INGRESOS]]-Tabla3[[#This Row],[EGRESOS]]</f>
        <v>-33079</v>
      </c>
      <c r="H446" s="285">
        <v>-2346520.63</v>
      </c>
      <c r="I446" s="135">
        <v>1140</v>
      </c>
      <c r="J446" s="136">
        <f>Tabla3[[#This Row],[EGRESOS]]/Tabla3[[#This Row],[TC]]</f>
        <v>29.016666666666666</v>
      </c>
      <c r="K446" s="136">
        <f>Tabla3[[#This Row],[INGRESOS]]/Tabla3[[#This Row],[TC]]</f>
        <v>0</v>
      </c>
      <c r="L446" s="8" t="s">
        <v>303</v>
      </c>
      <c r="M446" s="8" t="s">
        <v>304</v>
      </c>
      <c r="N446" s="8" t="s">
        <v>28</v>
      </c>
      <c r="O446" s="8" t="s">
        <v>184</v>
      </c>
      <c r="P446" s="8" t="s">
        <v>194</v>
      </c>
      <c r="Q446" s="8" t="s">
        <v>196</v>
      </c>
      <c r="R446" s="8" t="s">
        <v>491</v>
      </c>
      <c r="S446" s="8" t="s">
        <v>311</v>
      </c>
      <c r="T446" s="8"/>
      <c r="U446" s="8" t="s">
        <v>277</v>
      </c>
      <c r="V446" s="8" t="s">
        <v>311</v>
      </c>
      <c r="W446" s="8" t="s">
        <v>306</v>
      </c>
      <c r="X446" s="8" t="s">
        <v>103</v>
      </c>
      <c r="Y446" s="8" t="s">
        <v>23</v>
      </c>
    </row>
    <row r="447" spans="1:25" hidden="1" x14ac:dyDescent="0.25">
      <c r="A447" s="283" t="s">
        <v>242</v>
      </c>
      <c r="B447" s="260">
        <v>45761</v>
      </c>
      <c r="C447" s="261" t="s">
        <v>440</v>
      </c>
      <c r="D447" s="261"/>
      <c r="E447" s="262">
        <v>150000</v>
      </c>
      <c r="F447" s="262">
        <v>0</v>
      </c>
      <c r="G447" s="285">
        <f>Tabla3[[#This Row],[INGRESOS]]-Tabla3[[#This Row],[EGRESOS]]</f>
        <v>-150000</v>
      </c>
      <c r="H447" s="285">
        <v>-2346520.63</v>
      </c>
      <c r="I447" s="135">
        <v>1140</v>
      </c>
      <c r="J447" s="136">
        <f>Tabla3[[#This Row],[EGRESOS]]/Tabla3[[#This Row],[TC]]</f>
        <v>131.57894736842104</v>
      </c>
      <c r="K447" s="136">
        <f>Tabla3[[#This Row],[INGRESOS]]/Tabla3[[#This Row],[TC]]</f>
        <v>0</v>
      </c>
      <c r="L447" s="8" t="s">
        <v>303</v>
      </c>
      <c r="M447" s="8" t="s">
        <v>304</v>
      </c>
      <c r="N447" s="8" t="s">
        <v>28</v>
      </c>
      <c r="O447" s="8" t="s">
        <v>184</v>
      </c>
      <c r="P447" s="8" t="s">
        <v>191</v>
      </c>
      <c r="Q447" s="8" t="s">
        <v>192</v>
      </c>
      <c r="R447" s="8"/>
      <c r="S447" s="8" t="s">
        <v>431</v>
      </c>
      <c r="T447" s="8"/>
      <c r="U447" s="8" t="s">
        <v>266</v>
      </c>
      <c r="V447" s="8"/>
      <c r="W447" s="8" t="s">
        <v>306</v>
      </c>
      <c r="X447" s="8" t="s">
        <v>98</v>
      </c>
      <c r="Y447" s="8" t="s">
        <v>23</v>
      </c>
    </row>
    <row r="448" spans="1:25" hidden="1" x14ac:dyDescent="0.25">
      <c r="A448" s="283" t="s">
        <v>242</v>
      </c>
      <c r="B448" s="260">
        <v>45761</v>
      </c>
      <c r="C448" s="261" t="s">
        <v>440</v>
      </c>
      <c r="D448" s="261"/>
      <c r="E448" s="262">
        <v>99100</v>
      </c>
      <c r="F448" s="262">
        <v>0</v>
      </c>
      <c r="G448" s="285">
        <f>Tabla3[[#This Row],[INGRESOS]]-Tabla3[[#This Row],[EGRESOS]]</f>
        <v>-99100</v>
      </c>
      <c r="H448" s="285">
        <v>-2346520.63</v>
      </c>
      <c r="I448" s="135">
        <v>1140</v>
      </c>
      <c r="J448" s="136">
        <f>Tabla3[[#This Row],[EGRESOS]]/Tabla3[[#This Row],[TC]]</f>
        <v>86.929824561403507</v>
      </c>
      <c r="K448" s="136">
        <f>Tabla3[[#This Row],[INGRESOS]]/Tabla3[[#This Row],[TC]]</f>
        <v>0</v>
      </c>
      <c r="L448" s="8" t="s">
        <v>303</v>
      </c>
      <c r="M448" s="8" t="s">
        <v>304</v>
      </c>
      <c r="N448" s="8" t="s">
        <v>28</v>
      </c>
      <c r="O448" s="8" t="s">
        <v>184</v>
      </c>
      <c r="P448" s="8" t="s">
        <v>194</v>
      </c>
      <c r="Q448" s="8" t="s">
        <v>196</v>
      </c>
      <c r="R448" s="8" t="s">
        <v>492</v>
      </c>
      <c r="S448" s="8" t="s">
        <v>311</v>
      </c>
      <c r="T448" s="8"/>
      <c r="U448" s="8" t="s">
        <v>277</v>
      </c>
      <c r="V448" s="8" t="s">
        <v>311</v>
      </c>
      <c r="W448" s="8" t="s">
        <v>306</v>
      </c>
      <c r="X448" s="8" t="s">
        <v>103</v>
      </c>
      <c r="Y448" s="8" t="s">
        <v>23</v>
      </c>
    </row>
    <row r="449" spans="1:25" hidden="1" x14ac:dyDescent="0.25">
      <c r="A449" s="283" t="s">
        <v>242</v>
      </c>
      <c r="B449" s="260">
        <v>45761</v>
      </c>
      <c r="C449" s="261" t="s">
        <v>493</v>
      </c>
      <c r="D449" s="261"/>
      <c r="E449" s="262">
        <v>700</v>
      </c>
      <c r="F449" s="262">
        <v>0</v>
      </c>
      <c r="G449" s="285">
        <f>Tabla3[[#This Row],[INGRESOS]]-Tabla3[[#This Row],[EGRESOS]]</f>
        <v>-700</v>
      </c>
      <c r="H449" s="285">
        <v>-2347220.63</v>
      </c>
      <c r="I449" s="135">
        <v>1140</v>
      </c>
      <c r="J449" s="136">
        <f>Tabla3[[#This Row],[EGRESOS]]/Tabla3[[#This Row],[TC]]</f>
        <v>0.61403508771929827</v>
      </c>
      <c r="K449" s="136">
        <f>Tabla3[[#This Row],[INGRESOS]]/Tabla3[[#This Row],[TC]]</f>
        <v>0</v>
      </c>
      <c r="L449" s="8" t="s">
        <v>303</v>
      </c>
      <c r="M449" s="8" t="s">
        <v>304</v>
      </c>
      <c r="N449" s="8" t="s">
        <v>28</v>
      </c>
      <c r="O449" s="8" t="s">
        <v>184</v>
      </c>
      <c r="P449" s="8" t="s">
        <v>185</v>
      </c>
      <c r="Q449" s="8" t="s">
        <v>186</v>
      </c>
      <c r="R449" s="8"/>
      <c r="S449" s="8"/>
      <c r="T449" s="8"/>
      <c r="U449" s="8" t="s">
        <v>261</v>
      </c>
      <c r="V449" s="8"/>
      <c r="W449" s="8" t="s">
        <v>306</v>
      </c>
      <c r="X449" s="8" t="s">
        <v>98</v>
      </c>
      <c r="Y449" s="8" t="s">
        <v>23</v>
      </c>
    </row>
    <row r="450" spans="1:25" hidden="1" x14ac:dyDescent="0.25">
      <c r="A450" s="283" t="s">
        <v>242</v>
      </c>
      <c r="B450" s="260">
        <v>45761</v>
      </c>
      <c r="C450" s="261" t="s">
        <v>232</v>
      </c>
      <c r="D450" s="261"/>
      <c r="E450" s="262">
        <v>147</v>
      </c>
      <c r="F450" s="262">
        <v>0</v>
      </c>
      <c r="G450" s="285">
        <f>Tabla3[[#This Row],[INGRESOS]]-Tabla3[[#This Row],[EGRESOS]]</f>
        <v>-147</v>
      </c>
      <c r="H450" s="285">
        <v>-2347367.63</v>
      </c>
      <c r="I450" s="135">
        <v>1140</v>
      </c>
      <c r="J450" s="136">
        <f>Tabla3[[#This Row],[EGRESOS]]/Tabla3[[#This Row],[TC]]</f>
        <v>0.12894736842105264</v>
      </c>
      <c r="K450" s="136">
        <f>Tabla3[[#This Row],[INGRESOS]]/Tabla3[[#This Row],[TC]]</f>
        <v>0</v>
      </c>
      <c r="L450" s="8" t="s">
        <v>303</v>
      </c>
      <c r="M450" s="8" t="s">
        <v>304</v>
      </c>
      <c r="N450" s="8" t="s">
        <v>28</v>
      </c>
      <c r="O450" s="8" t="s">
        <v>184</v>
      </c>
      <c r="P450" s="8" t="s">
        <v>187</v>
      </c>
      <c r="Q450" s="8" t="s">
        <v>188</v>
      </c>
      <c r="R450" s="8" t="s">
        <v>308</v>
      </c>
      <c r="S450" s="8"/>
      <c r="T450" s="8"/>
      <c r="U450" s="8" t="s">
        <v>261</v>
      </c>
      <c r="V450" s="8"/>
      <c r="W450" s="8" t="s">
        <v>306</v>
      </c>
      <c r="X450" s="8" t="s">
        <v>98</v>
      </c>
      <c r="Y450" s="8" t="s">
        <v>23</v>
      </c>
    </row>
    <row r="451" spans="1:25" hidden="1" x14ac:dyDescent="0.25">
      <c r="A451" s="283" t="s">
        <v>242</v>
      </c>
      <c r="B451" s="260">
        <v>45761</v>
      </c>
      <c r="C451" s="261" t="s">
        <v>446</v>
      </c>
      <c r="D451" s="261"/>
      <c r="E451" s="262">
        <v>1200000</v>
      </c>
      <c r="F451" s="262">
        <v>0</v>
      </c>
      <c r="G451" s="285">
        <f>Tabla3[[#This Row],[INGRESOS]]-Tabla3[[#This Row],[EGRESOS]]</f>
        <v>-1200000</v>
      </c>
      <c r="H451" s="285">
        <v>-3547367.63</v>
      </c>
      <c r="I451" s="135">
        <v>1140</v>
      </c>
      <c r="J451" s="136">
        <f>Tabla3[[#This Row],[EGRESOS]]/Tabla3[[#This Row],[TC]]</f>
        <v>1052.6315789473683</v>
      </c>
      <c r="K451" s="136">
        <f>Tabla3[[#This Row],[INGRESOS]]/Tabla3[[#This Row],[TC]]</f>
        <v>0</v>
      </c>
      <c r="L451" s="8" t="s">
        <v>303</v>
      </c>
      <c r="M451" s="8" t="s">
        <v>304</v>
      </c>
      <c r="N451" s="8" t="s">
        <v>28</v>
      </c>
      <c r="O451" s="8" t="s">
        <v>214</v>
      </c>
      <c r="P451" s="8" t="s">
        <v>216</v>
      </c>
      <c r="Q451" s="8" t="s">
        <v>217</v>
      </c>
      <c r="R451" s="8" t="s">
        <v>305</v>
      </c>
      <c r="S451" s="8"/>
      <c r="T451" s="8"/>
      <c r="U451" s="8" t="s">
        <v>262</v>
      </c>
      <c r="V451" s="8"/>
      <c r="W451" s="8" t="s">
        <v>306</v>
      </c>
      <c r="X451" s="8"/>
      <c r="Y451" s="8"/>
    </row>
    <row r="452" spans="1:25" hidden="1" x14ac:dyDescent="0.25">
      <c r="A452" s="283" t="s">
        <v>242</v>
      </c>
      <c r="B452" s="260">
        <v>45761</v>
      </c>
      <c r="C452" s="261" t="s">
        <v>440</v>
      </c>
      <c r="D452" s="261"/>
      <c r="E452" s="262">
        <v>500000</v>
      </c>
      <c r="F452" s="262">
        <v>0</v>
      </c>
      <c r="G452" s="285">
        <f>Tabla3[[#This Row],[INGRESOS]]-Tabla3[[#This Row],[EGRESOS]]</f>
        <v>-500000</v>
      </c>
      <c r="H452" s="285">
        <v>-4047367.63</v>
      </c>
      <c r="I452" s="135">
        <v>1140</v>
      </c>
      <c r="J452" s="136">
        <f>Tabla3[[#This Row],[EGRESOS]]/Tabla3[[#This Row],[TC]]</f>
        <v>438.59649122807019</v>
      </c>
      <c r="K452" s="136">
        <f>Tabla3[[#This Row],[INGRESOS]]/Tabla3[[#This Row],[TC]]</f>
        <v>0</v>
      </c>
      <c r="L452" s="8" t="s">
        <v>303</v>
      </c>
      <c r="M452" s="8" t="s">
        <v>304</v>
      </c>
      <c r="N452" s="8" t="s">
        <v>28</v>
      </c>
      <c r="O452" s="8" t="s">
        <v>184</v>
      </c>
      <c r="P452" s="8" t="s">
        <v>194</v>
      </c>
      <c r="Q452" s="8" t="s">
        <v>196</v>
      </c>
      <c r="R452" s="8" t="s">
        <v>494</v>
      </c>
      <c r="S452" s="8" t="s">
        <v>331</v>
      </c>
      <c r="T452" s="8"/>
      <c r="U452" s="8" t="s">
        <v>267</v>
      </c>
      <c r="V452" s="8" t="s">
        <v>332</v>
      </c>
      <c r="W452" s="8" t="s">
        <v>306</v>
      </c>
      <c r="X452" s="8" t="s">
        <v>101</v>
      </c>
      <c r="Y452" s="8" t="s">
        <v>23</v>
      </c>
    </row>
    <row r="453" spans="1:25" hidden="1" x14ac:dyDescent="0.25">
      <c r="A453" s="283" t="s">
        <v>242</v>
      </c>
      <c r="B453" s="260">
        <v>45757</v>
      </c>
      <c r="C453" s="261" t="s">
        <v>440</v>
      </c>
      <c r="D453" s="261"/>
      <c r="E453" s="262">
        <v>50000</v>
      </c>
      <c r="F453" s="262">
        <v>0</v>
      </c>
      <c r="G453" s="285">
        <f>Tabla3[[#This Row],[INGRESOS]]-Tabla3[[#This Row],[EGRESOS]]</f>
        <v>-50000</v>
      </c>
      <c r="H453" s="285">
        <f>Tabla3[[#This Row],[INGRESOS]]-Tabla3[[#This Row],[EGRESOS]]</f>
        <v>-50000</v>
      </c>
      <c r="I453" s="135">
        <v>1140</v>
      </c>
      <c r="J453" s="136">
        <f>Tabla3[[#This Row],[EGRESOS]]/Tabla3[[#This Row],[TC]]</f>
        <v>43.859649122807021</v>
      </c>
      <c r="K453" s="136">
        <f>Tabla3[[#This Row],[INGRESOS]]/Tabla3[[#This Row],[TC]]</f>
        <v>0</v>
      </c>
      <c r="L453" s="8" t="s">
        <v>303</v>
      </c>
      <c r="M453" s="8" t="s">
        <v>304</v>
      </c>
      <c r="N453" s="8" t="s">
        <v>28</v>
      </c>
      <c r="O453" s="8" t="s">
        <v>184</v>
      </c>
      <c r="P453" s="8" t="s">
        <v>194</v>
      </c>
      <c r="Q453" s="8" t="s">
        <v>196</v>
      </c>
      <c r="R453" s="8" t="s">
        <v>487</v>
      </c>
      <c r="S453" s="8" t="s">
        <v>331</v>
      </c>
      <c r="T453" s="8"/>
      <c r="U453" s="8" t="s">
        <v>267</v>
      </c>
      <c r="V453" s="8" t="s">
        <v>332</v>
      </c>
      <c r="W453" s="8" t="s">
        <v>306</v>
      </c>
      <c r="X453" s="8" t="s">
        <v>101</v>
      </c>
      <c r="Y453" s="8" t="s">
        <v>23</v>
      </c>
    </row>
    <row r="454" spans="1:25" hidden="1" x14ac:dyDescent="0.25">
      <c r="A454" s="283" t="s">
        <v>242</v>
      </c>
      <c r="B454" s="260">
        <v>45761</v>
      </c>
      <c r="C454" s="261" t="s">
        <v>493</v>
      </c>
      <c r="D454" s="261"/>
      <c r="E454" s="262">
        <v>700</v>
      </c>
      <c r="F454" s="262">
        <v>0</v>
      </c>
      <c r="G454" s="285">
        <f>Tabla3[[#This Row],[INGRESOS]]-Tabla3[[#This Row],[EGRESOS]]</f>
        <v>-700</v>
      </c>
      <c r="H454" s="285">
        <v>-4048067.63</v>
      </c>
      <c r="I454" s="135">
        <v>1140</v>
      </c>
      <c r="J454" s="136">
        <f>Tabla3[[#This Row],[EGRESOS]]/Tabla3[[#This Row],[TC]]</f>
        <v>0.61403508771929827</v>
      </c>
      <c r="K454" s="136">
        <f>Tabla3[[#This Row],[INGRESOS]]/Tabla3[[#This Row],[TC]]</f>
        <v>0</v>
      </c>
      <c r="L454" s="8" t="s">
        <v>303</v>
      </c>
      <c r="M454" s="8" t="s">
        <v>304</v>
      </c>
      <c r="N454" s="8" t="s">
        <v>28</v>
      </c>
      <c r="O454" s="8" t="s">
        <v>184</v>
      </c>
      <c r="P454" s="8" t="s">
        <v>185</v>
      </c>
      <c r="Q454" s="8" t="s">
        <v>186</v>
      </c>
      <c r="R454" s="8"/>
      <c r="S454" s="8"/>
      <c r="T454" s="8"/>
      <c r="U454" s="8" t="s">
        <v>261</v>
      </c>
      <c r="V454" s="8"/>
      <c r="W454" s="8" t="s">
        <v>306</v>
      </c>
      <c r="X454" s="8" t="s">
        <v>98</v>
      </c>
      <c r="Y454" s="8" t="s">
        <v>23</v>
      </c>
    </row>
    <row r="455" spans="1:25" hidden="1" x14ac:dyDescent="0.25">
      <c r="A455" s="283" t="s">
        <v>242</v>
      </c>
      <c r="B455" s="260">
        <v>45761</v>
      </c>
      <c r="C455" s="261" t="s">
        <v>232</v>
      </c>
      <c r="D455" s="261"/>
      <c r="E455" s="262">
        <v>147</v>
      </c>
      <c r="F455" s="262">
        <v>0</v>
      </c>
      <c r="G455" s="285">
        <f>Tabla3[[#This Row],[INGRESOS]]-Tabla3[[#This Row],[EGRESOS]]</f>
        <v>-147</v>
      </c>
      <c r="H455" s="285">
        <v>-4048214.63</v>
      </c>
      <c r="I455" s="135">
        <v>1140</v>
      </c>
      <c r="J455" s="136">
        <f>Tabla3[[#This Row],[EGRESOS]]/Tabla3[[#This Row],[TC]]</f>
        <v>0.12894736842105264</v>
      </c>
      <c r="K455" s="136">
        <f>Tabla3[[#This Row],[INGRESOS]]/Tabla3[[#This Row],[TC]]</f>
        <v>0</v>
      </c>
      <c r="L455" s="8" t="s">
        <v>303</v>
      </c>
      <c r="M455" s="8" t="s">
        <v>304</v>
      </c>
      <c r="N455" s="8" t="s">
        <v>28</v>
      </c>
      <c r="O455" s="8" t="s">
        <v>184</v>
      </c>
      <c r="P455" s="8" t="s">
        <v>187</v>
      </c>
      <c r="Q455" s="8" t="s">
        <v>188</v>
      </c>
      <c r="R455" s="8" t="s">
        <v>308</v>
      </c>
      <c r="S455" s="8"/>
      <c r="T455" s="8"/>
      <c r="U455" s="8" t="s">
        <v>261</v>
      </c>
      <c r="V455" s="8"/>
      <c r="W455" s="8" t="s">
        <v>306</v>
      </c>
      <c r="X455" s="8" t="s">
        <v>98</v>
      </c>
      <c r="Y455" s="8" t="s">
        <v>23</v>
      </c>
    </row>
    <row r="456" spans="1:25" hidden="1" x14ac:dyDescent="0.25">
      <c r="A456" s="283" t="s">
        <v>242</v>
      </c>
      <c r="B456" s="260">
        <v>45761</v>
      </c>
      <c r="C456" s="261" t="s">
        <v>438</v>
      </c>
      <c r="D456" s="261"/>
      <c r="E456" s="262">
        <v>9219.1</v>
      </c>
      <c r="F456" s="262">
        <v>0</v>
      </c>
      <c r="G456" s="285">
        <f>Tabla3[[#This Row],[INGRESOS]]-Tabla3[[#This Row],[EGRESOS]]</f>
        <v>-9219.1</v>
      </c>
      <c r="H456" s="285">
        <v>-4057433.73</v>
      </c>
      <c r="I456" s="135">
        <v>1140</v>
      </c>
      <c r="J456" s="136">
        <f>Tabla3[[#This Row],[EGRESOS]]/Tabla3[[#This Row],[TC]]</f>
        <v>8.0869298245614036</v>
      </c>
      <c r="K456" s="136">
        <f>Tabla3[[#This Row],[INGRESOS]]/Tabla3[[#This Row],[TC]]</f>
        <v>0</v>
      </c>
      <c r="L456" s="8" t="s">
        <v>303</v>
      </c>
      <c r="M456" s="8" t="s">
        <v>304</v>
      </c>
      <c r="N456" s="8" t="s">
        <v>28</v>
      </c>
      <c r="O456" s="8" t="s">
        <v>184</v>
      </c>
      <c r="P456" s="8" t="s">
        <v>187</v>
      </c>
      <c r="Q456" s="8" t="s">
        <v>188</v>
      </c>
      <c r="R456" s="8" t="s">
        <v>317</v>
      </c>
      <c r="S456" s="8"/>
      <c r="T456" s="8"/>
      <c r="U456" s="8" t="s">
        <v>261</v>
      </c>
      <c r="V456" s="8"/>
      <c r="W456" s="8" t="s">
        <v>306</v>
      </c>
      <c r="X456" s="8" t="s">
        <v>98</v>
      </c>
      <c r="Y456" s="8" t="s">
        <v>23</v>
      </c>
    </row>
    <row r="457" spans="1:25" hidden="1" x14ac:dyDescent="0.25">
      <c r="A457" s="283" t="s">
        <v>242</v>
      </c>
      <c r="B457" s="260">
        <v>45762</v>
      </c>
      <c r="C457" s="261" t="s">
        <v>440</v>
      </c>
      <c r="D457" s="261"/>
      <c r="E457" s="262">
        <v>1000000</v>
      </c>
      <c r="F457" s="262">
        <v>0</v>
      </c>
      <c r="G457" s="285">
        <f>Tabla3[[#This Row],[INGRESOS]]-Tabla3[[#This Row],[EGRESOS]]</f>
        <v>-1000000</v>
      </c>
      <c r="H457" s="285">
        <v>-5057433.7300000004</v>
      </c>
      <c r="I457" s="135">
        <v>1140</v>
      </c>
      <c r="J457" s="136">
        <f>Tabla3[[#This Row],[EGRESOS]]/Tabla3[[#This Row],[TC]]</f>
        <v>877.19298245614038</v>
      </c>
      <c r="K457" s="136">
        <f>Tabla3[[#This Row],[INGRESOS]]/Tabla3[[#This Row],[TC]]</f>
        <v>0</v>
      </c>
      <c r="L457" s="8" t="s">
        <v>303</v>
      </c>
      <c r="M457" s="8" t="s">
        <v>304</v>
      </c>
      <c r="N457" s="8" t="s">
        <v>28</v>
      </c>
      <c r="O457" s="8" t="s">
        <v>184</v>
      </c>
      <c r="P457" s="8" t="s">
        <v>194</v>
      </c>
      <c r="Q457" s="8" t="s">
        <v>196</v>
      </c>
      <c r="R457" s="8"/>
      <c r="S457" s="8" t="s">
        <v>311</v>
      </c>
      <c r="T457" s="8"/>
      <c r="U457" s="8" t="s">
        <v>277</v>
      </c>
      <c r="V457" s="8" t="s">
        <v>311</v>
      </c>
      <c r="W457" s="8" t="s">
        <v>306</v>
      </c>
      <c r="X457" s="8" t="s">
        <v>103</v>
      </c>
      <c r="Y457" s="8" t="s">
        <v>23</v>
      </c>
    </row>
    <row r="458" spans="1:25" hidden="1" x14ac:dyDescent="0.25">
      <c r="A458" s="283" t="s">
        <v>242</v>
      </c>
      <c r="B458" s="260">
        <v>45762</v>
      </c>
      <c r="C458" s="261" t="s">
        <v>493</v>
      </c>
      <c r="D458" s="261"/>
      <c r="E458" s="262">
        <v>700</v>
      </c>
      <c r="F458" s="262">
        <v>0</v>
      </c>
      <c r="G458" s="285">
        <f>Tabla3[[#This Row],[INGRESOS]]-Tabla3[[#This Row],[EGRESOS]]</f>
        <v>-700</v>
      </c>
      <c r="H458" s="285">
        <v>-5058133.7300000004</v>
      </c>
      <c r="I458" s="135">
        <v>1140</v>
      </c>
      <c r="J458" s="136">
        <f>Tabla3[[#This Row],[EGRESOS]]/Tabla3[[#This Row],[TC]]</f>
        <v>0.61403508771929827</v>
      </c>
      <c r="K458" s="136">
        <f>Tabla3[[#This Row],[INGRESOS]]/Tabla3[[#This Row],[TC]]</f>
        <v>0</v>
      </c>
      <c r="L458" s="8" t="s">
        <v>303</v>
      </c>
      <c r="M458" s="8" t="s">
        <v>304</v>
      </c>
      <c r="N458" s="8" t="s">
        <v>28</v>
      </c>
      <c r="O458" s="8" t="s">
        <v>184</v>
      </c>
      <c r="P458" s="8" t="s">
        <v>185</v>
      </c>
      <c r="Q458" s="8" t="s">
        <v>186</v>
      </c>
      <c r="R458" s="8"/>
      <c r="S458" s="8"/>
      <c r="T458" s="8"/>
      <c r="U458" s="8" t="s">
        <v>261</v>
      </c>
      <c r="V458" s="8"/>
      <c r="W458" s="8" t="s">
        <v>306</v>
      </c>
      <c r="X458" s="8" t="s">
        <v>98</v>
      </c>
      <c r="Y458" s="8" t="s">
        <v>23</v>
      </c>
    </row>
    <row r="459" spans="1:25" hidden="1" x14ac:dyDescent="0.25">
      <c r="A459" s="283" t="s">
        <v>242</v>
      </c>
      <c r="B459" s="260">
        <v>45762</v>
      </c>
      <c r="C459" s="261" t="s">
        <v>232</v>
      </c>
      <c r="D459" s="261"/>
      <c r="E459" s="262">
        <v>147</v>
      </c>
      <c r="F459" s="262">
        <v>0</v>
      </c>
      <c r="G459" s="285">
        <f>Tabla3[[#This Row],[INGRESOS]]-Tabla3[[#This Row],[EGRESOS]]</f>
        <v>-147</v>
      </c>
      <c r="H459" s="285">
        <v>-5058280.7300000004</v>
      </c>
      <c r="I459" s="135">
        <v>1140</v>
      </c>
      <c r="J459" s="136">
        <f>Tabla3[[#This Row],[EGRESOS]]/Tabla3[[#This Row],[TC]]</f>
        <v>0.12894736842105264</v>
      </c>
      <c r="K459" s="136">
        <f>Tabla3[[#This Row],[INGRESOS]]/Tabla3[[#This Row],[TC]]</f>
        <v>0</v>
      </c>
      <c r="L459" s="8" t="s">
        <v>303</v>
      </c>
      <c r="M459" s="8" t="s">
        <v>304</v>
      </c>
      <c r="N459" s="8" t="s">
        <v>28</v>
      </c>
      <c r="O459" s="8" t="s">
        <v>184</v>
      </c>
      <c r="P459" s="8" t="s">
        <v>187</v>
      </c>
      <c r="Q459" s="8" t="s">
        <v>188</v>
      </c>
      <c r="R459" s="8" t="s">
        <v>308</v>
      </c>
      <c r="S459" s="8"/>
      <c r="T459" s="8"/>
      <c r="U459" s="8" t="s">
        <v>261</v>
      </c>
      <c r="V459" s="8"/>
      <c r="W459" s="8" t="s">
        <v>306</v>
      </c>
      <c r="X459" s="8" t="s">
        <v>98</v>
      </c>
      <c r="Y459" s="8" t="s">
        <v>23</v>
      </c>
    </row>
    <row r="460" spans="1:25" hidden="1" x14ac:dyDescent="0.25">
      <c r="A460" s="283" t="s">
        <v>242</v>
      </c>
      <c r="B460" s="260">
        <v>45762</v>
      </c>
      <c r="C460" s="261" t="s">
        <v>438</v>
      </c>
      <c r="D460" s="261"/>
      <c r="E460" s="262">
        <v>6005.08</v>
      </c>
      <c r="F460" s="262">
        <v>0</v>
      </c>
      <c r="G460" s="285">
        <f>Tabla3[[#This Row],[INGRESOS]]-Tabla3[[#This Row],[EGRESOS]]</f>
        <v>-6005.08</v>
      </c>
      <c r="H460" s="285">
        <v>-5064285.8099999996</v>
      </c>
      <c r="I460" s="135">
        <v>1140</v>
      </c>
      <c r="J460" s="136">
        <f>Tabla3[[#This Row],[EGRESOS]]/Tabla3[[#This Row],[TC]]</f>
        <v>5.2676140350877194</v>
      </c>
      <c r="K460" s="136">
        <f>Tabla3[[#This Row],[INGRESOS]]/Tabla3[[#This Row],[TC]]</f>
        <v>0</v>
      </c>
      <c r="L460" s="8" t="s">
        <v>303</v>
      </c>
      <c r="M460" s="8" t="s">
        <v>304</v>
      </c>
      <c r="N460" s="8" t="s">
        <v>28</v>
      </c>
      <c r="O460" s="8" t="s">
        <v>184</v>
      </c>
      <c r="P460" s="8" t="s">
        <v>187</v>
      </c>
      <c r="Q460" s="8" t="s">
        <v>188</v>
      </c>
      <c r="R460" s="8" t="s">
        <v>317</v>
      </c>
      <c r="S460" s="8"/>
      <c r="T460" s="8"/>
      <c r="U460" s="8" t="s">
        <v>261</v>
      </c>
      <c r="V460" s="8"/>
      <c r="W460" s="8" t="s">
        <v>306</v>
      </c>
      <c r="X460" s="8" t="s">
        <v>98</v>
      </c>
      <c r="Y460" s="8" t="s">
        <v>23</v>
      </c>
    </row>
    <row r="461" spans="1:25" hidden="1" x14ac:dyDescent="0.25">
      <c r="A461" s="283" t="s">
        <v>242</v>
      </c>
      <c r="B461" s="260">
        <v>45763</v>
      </c>
      <c r="C461" s="261" t="s">
        <v>446</v>
      </c>
      <c r="D461" s="261"/>
      <c r="E461" s="262">
        <v>2100000</v>
      </c>
      <c r="F461" s="262">
        <v>0</v>
      </c>
      <c r="G461" s="285">
        <f>Tabla3[[#This Row],[INGRESOS]]-Tabla3[[#This Row],[EGRESOS]]</f>
        <v>-2100000</v>
      </c>
      <c r="H461" s="285">
        <v>-7164285.8099999996</v>
      </c>
      <c r="I461" s="135">
        <v>1140</v>
      </c>
      <c r="J461" s="136">
        <f>Tabla3[[#This Row],[EGRESOS]]/Tabla3[[#This Row],[TC]]</f>
        <v>1842.1052631578948</v>
      </c>
      <c r="K461" s="136">
        <f>Tabla3[[#This Row],[INGRESOS]]/Tabla3[[#This Row],[TC]]</f>
        <v>0</v>
      </c>
      <c r="L461" s="8" t="s">
        <v>303</v>
      </c>
      <c r="M461" s="8" t="s">
        <v>304</v>
      </c>
      <c r="N461" s="8" t="s">
        <v>28</v>
      </c>
      <c r="O461" s="8" t="s">
        <v>214</v>
      </c>
      <c r="P461" s="8" t="s">
        <v>216</v>
      </c>
      <c r="Q461" s="8" t="s">
        <v>217</v>
      </c>
      <c r="R461" s="8" t="s">
        <v>305</v>
      </c>
      <c r="S461" s="8"/>
      <c r="T461" s="8"/>
      <c r="U461" s="8" t="s">
        <v>262</v>
      </c>
      <c r="V461" s="8"/>
      <c r="W461" s="8" t="s">
        <v>306</v>
      </c>
      <c r="X461" s="8"/>
      <c r="Y461" s="8"/>
    </row>
    <row r="462" spans="1:25" hidden="1" x14ac:dyDescent="0.25">
      <c r="A462" s="283" t="s">
        <v>242</v>
      </c>
      <c r="B462" s="260">
        <v>45768</v>
      </c>
      <c r="C462" s="261" t="s">
        <v>440</v>
      </c>
      <c r="D462" s="261"/>
      <c r="E462" s="262">
        <v>35000</v>
      </c>
      <c r="F462" s="262">
        <v>0</v>
      </c>
      <c r="G462" s="285">
        <f>Tabla3[[#This Row],[INGRESOS]]-Tabla3[[#This Row],[EGRESOS]]</f>
        <v>-35000</v>
      </c>
      <c r="H462" s="285">
        <v>-7164285.8099999996</v>
      </c>
      <c r="I462" s="135">
        <v>1140</v>
      </c>
      <c r="J462" s="136">
        <f>Tabla3[[#This Row],[EGRESOS]]/Tabla3[[#This Row],[TC]]</f>
        <v>30.701754385964911</v>
      </c>
      <c r="K462" s="136">
        <f>Tabla3[[#This Row],[INGRESOS]]/Tabla3[[#This Row],[TC]]</f>
        <v>0</v>
      </c>
      <c r="L462" s="8" t="s">
        <v>303</v>
      </c>
      <c r="M462" s="8" t="s">
        <v>304</v>
      </c>
      <c r="N462" s="8" t="s">
        <v>28</v>
      </c>
      <c r="O462" s="8" t="s">
        <v>184</v>
      </c>
      <c r="P462" s="8" t="s">
        <v>191</v>
      </c>
      <c r="Q462" s="8" t="s">
        <v>192</v>
      </c>
      <c r="R462" s="8"/>
      <c r="S462" s="8" t="s">
        <v>431</v>
      </c>
      <c r="T462" s="8"/>
      <c r="U462" s="8" t="s">
        <v>266</v>
      </c>
      <c r="V462" s="8"/>
      <c r="W462" s="8" t="s">
        <v>306</v>
      </c>
      <c r="X462" s="8" t="s">
        <v>98</v>
      </c>
      <c r="Y462" s="8" t="s">
        <v>23</v>
      </c>
    </row>
    <row r="463" spans="1:25" hidden="1" x14ac:dyDescent="0.25">
      <c r="A463" s="283" t="s">
        <v>242</v>
      </c>
      <c r="B463" s="260">
        <v>45768</v>
      </c>
      <c r="C463" s="261" t="s">
        <v>438</v>
      </c>
      <c r="D463" s="261"/>
      <c r="E463" s="262">
        <v>210</v>
      </c>
      <c r="F463" s="262">
        <v>0</v>
      </c>
      <c r="G463" s="285">
        <f>Tabla3[[#This Row],[INGRESOS]]-Tabla3[[#This Row],[EGRESOS]]</f>
        <v>-210</v>
      </c>
      <c r="H463" s="285">
        <v>-7164285.8099999996</v>
      </c>
      <c r="I463" s="135">
        <v>1140</v>
      </c>
      <c r="J463" s="136">
        <f>Tabla3[[#This Row],[EGRESOS]]/Tabla3[[#This Row],[TC]]</f>
        <v>0.18421052631578946</v>
      </c>
      <c r="K463" s="136">
        <f>Tabla3[[#This Row],[INGRESOS]]/Tabla3[[#This Row],[TC]]</f>
        <v>0</v>
      </c>
      <c r="L463" s="8" t="s">
        <v>303</v>
      </c>
      <c r="M463" s="8" t="s">
        <v>304</v>
      </c>
      <c r="N463" s="8" t="s">
        <v>28</v>
      </c>
      <c r="O463" s="8" t="s">
        <v>184</v>
      </c>
      <c r="P463" s="8" t="s">
        <v>187</v>
      </c>
      <c r="Q463" s="8" t="s">
        <v>188</v>
      </c>
      <c r="R463" s="8" t="s">
        <v>317</v>
      </c>
      <c r="S463" s="8"/>
      <c r="T463" s="8"/>
      <c r="U463" s="8" t="s">
        <v>261</v>
      </c>
      <c r="V463" s="8"/>
      <c r="W463" s="8" t="s">
        <v>306</v>
      </c>
      <c r="X463" s="8" t="s">
        <v>98</v>
      </c>
      <c r="Y463" s="8" t="s">
        <v>23</v>
      </c>
    </row>
    <row r="464" spans="1:25" hidden="1" x14ac:dyDescent="0.25">
      <c r="A464" s="283" t="s">
        <v>242</v>
      </c>
      <c r="B464" s="260">
        <v>45772</v>
      </c>
      <c r="C464" s="261" t="s">
        <v>495</v>
      </c>
      <c r="D464" s="261"/>
      <c r="E464" s="262">
        <v>0</v>
      </c>
      <c r="F464" s="262">
        <v>2340000</v>
      </c>
      <c r="G464" s="285">
        <f>Tabla3[[#This Row],[INGRESOS]]-Tabla3[[#This Row],[EGRESOS]]</f>
        <v>2340000</v>
      </c>
      <c r="H464" s="285">
        <v>-4859495.8099999996</v>
      </c>
      <c r="I464" s="135">
        <v>1140</v>
      </c>
      <c r="J464" s="136">
        <f>Tabla3[[#This Row],[EGRESOS]]/Tabla3[[#This Row],[TC]]</f>
        <v>0</v>
      </c>
      <c r="K464" s="136">
        <f>Tabla3[[#This Row],[INGRESOS]]/Tabla3[[#This Row],[TC]]</f>
        <v>2052.6315789473683</v>
      </c>
      <c r="L464" s="8" t="s">
        <v>303</v>
      </c>
      <c r="M464" s="8" t="s">
        <v>304</v>
      </c>
      <c r="N464" s="8" t="s">
        <v>28</v>
      </c>
      <c r="O464" s="8" t="s">
        <v>184</v>
      </c>
      <c r="P464" s="8" t="s">
        <v>237</v>
      </c>
      <c r="Q464" s="8" t="s">
        <v>236</v>
      </c>
      <c r="R464" s="8" t="s">
        <v>364</v>
      </c>
      <c r="S464" s="8" t="s">
        <v>365</v>
      </c>
      <c r="T464" s="8"/>
      <c r="U464" s="8" t="s">
        <v>273</v>
      </c>
      <c r="V464" s="8"/>
      <c r="W464" s="8" t="s">
        <v>306</v>
      </c>
      <c r="X464" s="8" t="s">
        <v>23</v>
      </c>
      <c r="Y464" s="8" t="s">
        <v>45</v>
      </c>
    </row>
    <row r="465" spans="1:25" hidden="1" x14ac:dyDescent="0.25">
      <c r="A465" s="283" t="s">
        <v>242</v>
      </c>
      <c r="B465" s="260">
        <v>45772</v>
      </c>
      <c r="C465" s="261" t="s">
        <v>446</v>
      </c>
      <c r="D465" s="261"/>
      <c r="E465" s="262">
        <v>2340000</v>
      </c>
      <c r="F465" s="262">
        <v>0</v>
      </c>
      <c r="G465" s="285">
        <f>Tabla3[[#This Row],[INGRESOS]]-Tabla3[[#This Row],[EGRESOS]]</f>
        <v>-2340000</v>
      </c>
      <c r="H465" s="285">
        <v>-7199495.8099999996</v>
      </c>
      <c r="I465" s="135">
        <v>1140</v>
      </c>
      <c r="J465" s="136">
        <f>Tabla3[[#This Row],[EGRESOS]]/Tabla3[[#This Row],[TC]]</f>
        <v>2052.6315789473683</v>
      </c>
      <c r="K465" s="136">
        <f>Tabla3[[#This Row],[INGRESOS]]/Tabla3[[#This Row],[TC]]</f>
        <v>0</v>
      </c>
      <c r="L465" s="8" t="s">
        <v>303</v>
      </c>
      <c r="M465" s="8" t="s">
        <v>304</v>
      </c>
      <c r="N465" s="8" t="s">
        <v>28</v>
      </c>
      <c r="O465" s="8" t="s">
        <v>214</v>
      </c>
      <c r="P465" s="8" t="s">
        <v>216</v>
      </c>
      <c r="Q465" s="8" t="s">
        <v>217</v>
      </c>
      <c r="R465" s="8" t="s">
        <v>451</v>
      </c>
      <c r="S465" s="8"/>
      <c r="T465" s="8"/>
      <c r="U465" s="8" t="s">
        <v>262</v>
      </c>
      <c r="V465" s="8"/>
      <c r="W465" s="8" t="s">
        <v>306</v>
      </c>
      <c r="X465" s="8"/>
      <c r="Y465" s="8"/>
    </row>
    <row r="466" spans="1:25" hidden="1" x14ac:dyDescent="0.25">
      <c r="A466" s="283" t="s">
        <v>242</v>
      </c>
      <c r="B466" s="260">
        <v>45772</v>
      </c>
      <c r="C466" s="261" t="s">
        <v>465</v>
      </c>
      <c r="D466" s="261"/>
      <c r="E466" s="262">
        <v>14040</v>
      </c>
      <c r="F466" s="262">
        <v>0</v>
      </c>
      <c r="G466" s="285">
        <f>Tabla3[[#This Row],[INGRESOS]]-Tabla3[[#This Row],[EGRESOS]]</f>
        <v>-14040</v>
      </c>
      <c r="H466" s="285">
        <v>-7213535.8099999996</v>
      </c>
      <c r="I466" s="135">
        <v>1140</v>
      </c>
      <c r="J466" s="136">
        <f>Tabla3[[#This Row],[EGRESOS]]/Tabla3[[#This Row],[TC]]</f>
        <v>12.315789473684211</v>
      </c>
      <c r="K466" s="136">
        <f>Tabla3[[#This Row],[INGRESOS]]/Tabla3[[#This Row],[TC]]</f>
        <v>0</v>
      </c>
      <c r="L466" s="8" t="s">
        <v>303</v>
      </c>
      <c r="M466" s="8" t="s">
        <v>304</v>
      </c>
      <c r="N466" s="8" t="s">
        <v>28</v>
      </c>
      <c r="O466" s="8" t="s">
        <v>184</v>
      </c>
      <c r="P466" s="8" t="s">
        <v>187</v>
      </c>
      <c r="Q466" s="8" t="s">
        <v>188</v>
      </c>
      <c r="R466" s="8" t="s">
        <v>317</v>
      </c>
      <c r="S466" s="8"/>
      <c r="T466" s="8"/>
      <c r="U466" s="8" t="s">
        <v>261</v>
      </c>
      <c r="V466" s="8"/>
      <c r="W466" s="8" t="s">
        <v>306</v>
      </c>
      <c r="X466" s="8" t="s">
        <v>98</v>
      </c>
      <c r="Y466" s="8" t="s">
        <v>23</v>
      </c>
    </row>
    <row r="467" spans="1:25" hidden="1" x14ac:dyDescent="0.25">
      <c r="A467" s="283" t="s">
        <v>242</v>
      </c>
      <c r="B467" s="260">
        <v>45776</v>
      </c>
      <c r="C467" s="261" t="s">
        <v>464</v>
      </c>
      <c r="D467" s="261"/>
      <c r="E467" s="262">
        <v>0</v>
      </c>
      <c r="F467" s="262">
        <v>20000</v>
      </c>
      <c r="G467" s="285">
        <f>Tabla3[[#This Row],[INGRESOS]]-Tabla3[[#This Row],[EGRESOS]]</f>
        <v>20000</v>
      </c>
      <c r="H467" s="285">
        <v>-7193535.8099999996</v>
      </c>
      <c r="I467" s="135">
        <v>1140</v>
      </c>
      <c r="J467" s="136">
        <f>Tabla3[[#This Row],[EGRESOS]]/Tabla3[[#This Row],[TC]]</f>
        <v>0</v>
      </c>
      <c r="K467" s="136">
        <f>Tabla3[[#This Row],[INGRESOS]]/Tabla3[[#This Row],[TC]]</f>
        <v>17.543859649122808</v>
      </c>
      <c r="L467" s="8" t="s">
        <v>303</v>
      </c>
      <c r="M467" s="8" t="s">
        <v>304</v>
      </c>
      <c r="N467" s="8" t="s">
        <v>28</v>
      </c>
      <c r="O467" s="8" t="s">
        <v>184</v>
      </c>
      <c r="P467" s="8" t="s">
        <v>194</v>
      </c>
      <c r="Q467" s="8" t="s">
        <v>236</v>
      </c>
      <c r="R467" s="8"/>
      <c r="S467" s="8" t="s">
        <v>311</v>
      </c>
      <c r="T467" s="8"/>
      <c r="U467" s="8" t="s">
        <v>272</v>
      </c>
      <c r="V467" s="8" t="s">
        <v>311</v>
      </c>
      <c r="W467" s="8" t="s">
        <v>306</v>
      </c>
      <c r="X467" s="8" t="s">
        <v>23</v>
      </c>
      <c r="Y467" s="8" t="s">
        <v>97</v>
      </c>
    </row>
    <row r="468" spans="1:25" hidden="1" x14ac:dyDescent="0.25">
      <c r="A468" s="283" t="s">
        <v>242</v>
      </c>
      <c r="B468" s="260">
        <v>45776</v>
      </c>
      <c r="C468" s="261" t="s">
        <v>465</v>
      </c>
      <c r="D468" s="261"/>
      <c r="E468" s="262">
        <v>120</v>
      </c>
      <c r="F468" s="262">
        <v>0</v>
      </c>
      <c r="G468" s="285">
        <f>Tabla3[[#This Row],[INGRESOS]]-Tabla3[[#This Row],[EGRESOS]]</f>
        <v>-120</v>
      </c>
      <c r="H468" s="285">
        <v>-7193655.8099999996</v>
      </c>
      <c r="I468" s="135">
        <v>1140</v>
      </c>
      <c r="J468" s="136">
        <f>Tabla3[[#This Row],[EGRESOS]]/Tabla3[[#This Row],[TC]]</f>
        <v>0.10526315789473684</v>
      </c>
      <c r="K468" s="136">
        <f>Tabla3[[#This Row],[INGRESOS]]/Tabla3[[#This Row],[TC]]</f>
        <v>0</v>
      </c>
      <c r="L468" s="8" t="s">
        <v>303</v>
      </c>
      <c r="M468" s="8" t="s">
        <v>304</v>
      </c>
      <c r="N468" s="8" t="s">
        <v>28</v>
      </c>
      <c r="O468" s="8" t="s">
        <v>184</v>
      </c>
      <c r="P468" s="8" t="s">
        <v>187</v>
      </c>
      <c r="Q468" s="8" t="s">
        <v>188</v>
      </c>
      <c r="R468" s="8" t="s">
        <v>317</v>
      </c>
      <c r="S468" s="8"/>
      <c r="T468" s="8"/>
      <c r="U468" s="8" t="s">
        <v>261</v>
      </c>
      <c r="V468" s="8"/>
      <c r="W468" s="8" t="s">
        <v>306</v>
      </c>
      <c r="X468" s="8" t="s">
        <v>98</v>
      </c>
      <c r="Y468" s="8" t="s">
        <v>23</v>
      </c>
    </row>
    <row r="469" spans="1:25" hidden="1" x14ac:dyDescent="0.25">
      <c r="A469" s="283" t="s">
        <v>247</v>
      </c>
      <c r="B469" s="260">
        <v>45782</v>
      </c>
      <c r="C469" s="261" t="s">
        <v>437</v>
      </c>
      <c r="D469" s="261"/>
      <c r="E469" s="262">
        <v>48000</v>
      </c>
      <c r="F469" s="262">
        <v>0</v>
      </c>
      <c r="G469" s="285">
        <f>Tabla3[[#This Row],[INGRESOS]]-Tabla3[[#This Row],[EGRESOS]]</f>
        <v>-48000</v>
      </c>
      <c r="H469" s="285">
        <v>-7241655.8099999996</v>
      </c>
      <c r="I469" s="135">
        <v>1140</v>
      </c>
      <c r="J469" s="136">
        <f>Tabla3[[#This Row],[EGRESOS]]/Tabla3[[#This Row],[TC]]</f>
        <v>42.10526315789474</v>
      </c>
      <c r="K469" s="136">
        <f>Tabla3[[#This Row],[INGRESOS]]/Tabla3[[#This Row],[TC]]</f>
        <v>0</v>
      </c>
      <c r="L469" s="8" t="s">
        <v>303</v>
      </c>
      <c r="M469" s="8" t="s">
        <v>304</v>
      </c>
      <c r="N469" s="8" t="s">
        <v>28</v>
      </c>
      <c r="O469" s="8" t="s">
        <v>184</v>
      </c>
      <c r="P469" s="8" t="s">
        <v>185</v>
      </c>
      <c r="Q469" s="8" t="s">
        <v>186</v>
      </c>
      <c r="R469" s="8"/>
      <c r="S469" s="8"/>
      <c r="T469" s="8"/>
      <c r="U469" s="8" t="s">
        <v>261</v>
      </c>
      <c r="V469" s="8"/>
      <c r="W469" s="8" t="s">
        <v>306</v>
      </c>
      <c r="X469" s="8" t="s">
        <v>98</v>
      </c>
      <c r="Y469" s="8" t="s">
        <v>23</v>
      </c>
    </row>
    <row r="470" spans="1:25" hidden="1" x14ac:dyDescent="0.25">
      <c r="A470" s="283" t="s">
        <v>247</v>
      </c>
      <c r="B470" s="260">
        <v>45782</v>
      </c>
      <c r="C470" s="261" t="s">
        <v>232</v>
      </c>
      <c r="D470" s="261"/>
      <c r="E470" s="262">
        <v>10080</v>
      </c>
      <c r="F470" s="262">
        <v>0</v>
      </c>
      <c r="G470" s="285">
        <f>Tabla3[[#This Row],[INGRESOS]]-Tabla3[[#This Row],[EGRESOS]]</f>
        <v>-10080</v>
      </c>
      <c r="H470" s="285">
        <v>-7251735.8099999996</v>
      </c>
      <c r="I470" s="135">
        <v>1140</v>
      </c>
      <c r="J470" s="136">
        <f>Tabla3[[#This Row],[EGRESOS]]/Tabla3[[#This Row],[TC]]</f>
        <v>8.8421052631578956</v>
      </c>
      <c r="K470" s="136">
        <f>Tabla3[[#This Row],[INGRESOS]]/Tabla3[[#This Row],[TC]]</f>
        <v>0</v>
      </c>
      <c r="L470" s="8" t="s">
        <v>303</v>
      </c>
      <c r="M470" s="8" t="s">
        <v>304</v>
      </c>
      <c r="N470" s="8" t="s">
        <v>28</v>
      </c>
      <c r="O470" s="8" t="s">
        <v>184</v>
      </c>
      <c r="P470" s="8" t="s">
        <v>187</v>
      </c>
      <c r="Q470" s="8" t="s">
        <v>188</v>
      </c>
      <c r="R470" s="8" t="s">
        <v>308</v>
      </c>
      <c r="S470" s="8"/>
      <c r="T470" s="8"/>
      <c r="U470" s="8" t="s">
        <v>261</v>
      </c>
      <c r="V470" s="8"/>
      <c r="W470" s="8" t="s">
        <v>306</v>
      </c>
      <c r="X470" s="8" t="s">
        <v>98</v>
      </c>
      <c r="Y470" s="8" t="s">
        <v>23</v>
      </c>
    </row>
    <row r="471" spans="1:25" hidden="1" x14ac:dyDescent="0.25">
      <c r="A471" s="283" t="s">
        <v>247</v>
      </c>
      <c r="B471" s="260">
        <v>45782</v>
      </c>
      <c r="C471" s="261" t="s">
        <v>436</v>
      </c>
      <c r="D471" s="261"/>
      <c r="E471" s="262">
        <v>1440</v>
      </c>
      <c r="F471" s="262">
        <v>0</v>
      </c>
      <c r="G471" s="285">
        <f>Tabla3[[#This Row],[INGRESOS]]-Tabla3[[#This Row],[EGRESOS]]</f>
        <v>-1440</v>
      </c>
      <c r="H471" s="285">
        <v>-7253175.8099999996</v>
      </c>
      <c r="I471" s="135">
        <v>1140</v>
      </c>
      <c r="J471" s="136">
        <f>Tabla3[[#This Row],[EGRESOS]]/Tabla3[[#This Row],[TC]]</f>
        <v>1.263157894736842</v>
      </c>
      <c r="K471" s="136">
        <f>Tabla3[[#This Row],[INGRESOS]]/Tabla3[[#This Row],[TC]]</f>
        <v>0</v>
      </c>
      <c r="L471" s="8" t="s">
        <v>303</v>
      </c>
      <c r="M471" s="8" t="s">
        <v>304</v>
      </c>
      <c r="N471" s="8" t="s">
        <v>28</v>
      </c>
      <c r="O471" s="8" t="s">
        <v>184</v>
      </c>
      <c r="P471" s="8" t="s">
        <v>187</v>
      </c>
      <c r="Q471" s="8" t="s">
        <v>188</v>
      </c>
      <c r="R471" s="8" t="s">
        <v>334</v>
      </c>
      <c r="S471" s="8"/>
      <c r="T471" s="8"/>
      <c r="U471" s="8" t="s">
        <v>261</v>
      </c>
      <c r="V471" s="8"/>
      <c r="W471" s="8" t="s">
        <v>306</v>
      </c>
      <c r="X471" s="8" t="s">
        <v>98</v>
      </c>
      <c r="Y471" s="8" t="s">
        <v>23</v>
      </c>
    </row>
    <row r="472" spans="1:25" hidden="1" x14ac:dyDescent="0.25">
      <c r="A472" s="283" t="s">
        <v>247</v>
      </c>
      <c r="B472" s="260">
        <v>45782</v>
      </c>
      <c r="C472" s="261" t="s">
        <v>438</v>
      </c>
      <c r="D472" s="261"/>
      <c r="E472" s="262">
        <v>357.12</v>
      </c>
      <c r="F472" s="262">
        <v>0</v>
      </c>
      <c r="G472" s="285">
        <f>Tabla3[[#This Row],[INGRESOS]]-Tabla3[[#This Row],[EGRESOS]]</f>
        <v>-357.12</v>
      </c>
      <c r="H472" s="285">
        <v>-7253532.9299999997</v>
      </c>
      <c r="I472" s="135">
        <v>1140</v>
      </c>
      <c r="J472" s="136">
        <f>Tabla3[[#This Row],[EGRESOS]]/Tabla3[[#This Row],[TC]]</f>
        <v>0.31326315789473685</v>
      </c>
      <c r="K472" s="136">
        <f>Tabla3[[#This Row],[INGRESOS]]/Tabla3[[#This Row],[TC]]</f>
        <v>0</v>
      </c>
      <c r="L472" s="8" t="s">
        <v>303</v>
      </c>
      <c r="M472" s="8" t="s">
        <v>304</v>
      </c>
      <c r="N472" s="8" t="s">
        <v>28</v>
      </c>
      <c r="O472" s="8" t="s">
        <v>184</v>
      </c>
      <c r="P472" s="8" t="s">
        <v>187</v>
      </c>
      <c r="Q472" s="8" t="s">
        <v>188</v>
      </c>
      <c r="R472" s="8" t="s">
        <v>317</v>
      </c>
      <c r="S472" s="8"/>
      <c r="T472" s="8"/>
      <c r="U472" s="8" t="s">
        <v>261</v>
      </c>
      <c r="V472" s="8"/>
      <c r="W472" s="8" t="s">
        <v>306</v>
      </c>
      <c r="X472" s="8" t="s">
        <v>98</v>
      </c>
      <c r="Y472" s="8" t="s">
        <v>23</v>
      </c>
    </row>
    <row r="473" spans="1:25" hidden="1" x14ac:dyDescent="0.25">
      <c r="A473" s="283" t="s">
        <v>247</v>
      </c>
      <c r="B473" s="260">
        <v>45782</v>
      </c>
      <c r="C473" s="261" t="s">
        <v>439</v>
      </c>
      <c r="D473" s="261"/>
      <c r="E473" s="262">
        <v>250402.13</v>
      </c>
      <c r="F473" s="262">
        <v>0</v>
      </c>
      <c r="G473" s="285">
        <f>Tabla3[[#This Row],[INGRESOS]]-Tabla3[[#This Row],[EGRESOS]]</f>
        <v>-250402.13</v>
      </c>
      <c r="H473" s="285">
        <v>-7503935.0599999996</v>
      </c>
      <c r="I473" s="135">
        <v>1140</v>
      </c>
      <c r="J473" s="136">
        <f>Tabla3[[#This Row],[EGRESOS]]/Tabla3[[#This Row],[TC]]</f>
        <v>219.65099122807018</v>
      </c>
      <c r="K473" s="136">
        <f>Tabla3[[#This Row],[INGRESOS]]/Tabla3[[#This Row],[TC]]</f>
        <v>0</v>
      </c>
      <c r="L473" s="8" t="s">
        <v>303</v>
      </c>
      <c r="M473" s="8" t="s">
        <v>304</v>
      </c>
      <c r="N473" s="8" t="s">
        <v>28</v>
      </c>
      <c r="O473" s="8" t="s">
        <v>184</v>
      </c>
      <c r="P473" s="8" t="s">
        <v>189</v>
      </c>
      <c r="Q473" s="8" t="s">
        <v>190</v>
      </c>
      <c r="R473" s="8"/>
      <c r="S473" s="8"/>
      <c r="T473" s="8"/>
      <c r="U473" s="8" t="s">
        <v>261</v>
      </c>
      <c r="V473" s="8"/>
      <c r="W473" s="8" t="s">
        <v>306</v>
      </c>
      <c r="X473" s="8" t="s">
        <v>98</v>
      </c>
      <c r="Y473" s="8" t="s">
        <v>23</v>
      </c>
    </row>
    <row r="474" spans="1:25" hidden="1" x14ac:dyDescent="0.25">
      <c r="A474" s="283" t="s">
        <v>247</v>
      </c>
      <c r="B474" s="260">
        <v>45782</v>
      </c>
      <c r="C474" s="261" t="s">
        <v>381</v>
      </c>
      <c r="D474" s="261"/>
      <c r="E474" s="262">
        <v>5328.46</v>
      </c>
      <c r="F474" s="262">
        <v>0</v>
      </c>
      <c r="G474" s="285">
        <f>Tabla3[[#This Row],[INGRESOS]]-Tabla3[[#This Row],[EGRESOS]]</f>
        <v>-5328.46</v>
      </c>
      <c r="H474" s="285">
        <v>-7509263.5199999996</v>
      </c>
      <c r="I474" s="135">
        <v>1140</v>
      </c>
      <c r="J474" s="136">
        <f>Tabla3[[#This Row],[EGRESOS]]/Tabla3[[#This Row],[TC]]</f>
        <v>4.674087719298246</v>
      </c>
      <c r="K474" s="136">
        <f>Tabla3[[#This Row],[INGRESOS]]/Tabla3[[#This Row],[TC]]</f>
        <v>0</v>
      </c>
      <c r="L474" s="8" t="s">
        <v>303</v>
      </c>
      <c r="M474" s="8" t="s">
        <v>304</v>
      </c>
      <c r="N474" s="8" t="s">
        <v>28</v>
      </c>
      <c r="O474" s="8" t="s">
        <v>184</v>
      </c>
      <c r="P474" s="8" t="s">
        <v>187</v>
      </c>
      <c r="Q474" s="8" t="s">
        <v>188</v>
      </c>
      <c r="R474" s="8" t="s">
        <v>339</v>
      </c>
      <c r="S474" s="8"/>
      <c r="T474" s="8"/>
      <c r="U474" s="8" t="s">
        <v>261</v>
      </c>
      <c r="V474" s="8"/>
      <c r="W474" s="8" t="s">
        <v>306</v>
      </c>
      <c r="X474" s="8" t="s">
        <v>98</v>
      </c>
      <c r="Y474" s="8" t="s">
        <v>23</v>
      </c>
    </row>
    <row r="475" spans="1:25" hidden="1" x14ac:dyDescent="0.25">
      <c r="A475" s="283" t="s">
        <v>247</v>
      </c>
      <c r="B475" s="260">
        <v>45782</v>
      </c>
      <c r="C475" s="261" t="s">
        <v>232</v>
      </c>
      <c r="D475" s="261"/>
      <c r="E475" s="262">
        <v>26292.22</v>
      </c>
      <c r="F475" s="262">
        <v>0</v>
      </c>
      <c r="G475" s="285">
        <f>Tabla3[[#This Row],[INGRESOS]]-Tabla3[[#This Row],[EGRESOS]]</f>
        <v>-26292.22</v>
      </c>
      <c r="H475" s="285">
        <v>-7535555.7400000002</v>
      </c>
      <c r="I475" s="135">
        <v>1140</v>
      </c>
      <c r="J475" s="136">
        <f>Tabla3[[#This Row],[EGRESOS]]/Tabla3[[#This Row],[TC]]</f>
        <v>23.063350877192985</v>
      </c>
      <c r="K475" s="136">
        <f>Tabla3[[#This Row],[INGRESOS]]/Tabla3[[#This Row],[TC]]</f>
        <v>0</v>
      </c>
      <c r="L475" s="8" t="s">
        <v>303</v>
      </c>
      <c r="M475" s="8" t="s">
        <v>304</v>
      </c>
      <c r="N475" s="8" t="s">
        <v>28</v>
      </c>
      <c r="O475" s="8" t="s">
        <v>184</v>
      </c>
      <c r="P475" s="8" t="s">
        <v>187</v>
      </c>
      <c r="Q475" s="8" t="s">
        <v>188</v>
      </c>
      <c r="R475" s="8" t="s">
        <v>308</v>
      </c>
      <c r="S475" s="8"/>
      <c r="T475" s="8"/>
      <c r="U475" s="8" t="s">
        <v>261</v>
      </c>
      <c r="V475" s="8"/>
      <c r="W475" s="8" t="s">
        <v>306</v>
      </c>
      <c r="X475" s="8" t="s">
        <v>98</v>
      </c>
      <c r="Y475" s="8" t="s">
        <v>23</v>
      </c>
    </row>
    <row r="476" spans="1:25" hidden="1" x14ac:dyDescent="0.25">
      <c r="A476" s="283" t="s">
        <v>247</v>
      </c>
      <c r="B476" s="260">
        <v>45782</v>
      </c>
      <c r="C476" s="261" t="s">
        <v>436</v>
      </c>
      <c r="D476" s="261"/>
      <c r="E476" s="262">
        <v>3756.03</v>
      </c>
      <c r="F476" s="262">
        <v>0</v>
      </c>
      <c r="G476" s="285">
        <f>Tabla3[[#This Row],[INGRESOS]]-Tabla3[[#This Row],[EGRESOS]]</f>
        <v>-3756.03</v>
      </c>
      <c r="H476" s="285">
        <v>-7539311.7699999996</v>
      </c>
      <c r="I476" s="135">
        <v>1140</v>
      </c>
      <c r="J476" s="136">
        <f>Tabla3[[#This Row],[EGRESOS]]/Tabla3[[#This Row],[TC]]</f>
        <v>3.2947631578947369</v>
      </c>
      <c r="K476" s="136">
        <f>Tabla3[[#This Row],[INGRESOS]]/Tabla3[[#This Row],[TC]]</f>
        <v>0</v>
      </c>
      <c r="L476" s="8" t="s">
        <v>303</v>
      </c>
      <c r="M476" s="8" t="s">
        <v>304</v>
      </c>
      <c r="N476" s="8" t="s">
        <v>28</v>
      </c>
      <c r="O476" s="8" t="s">
        <v>184</v>
      </c>
      <c r="P476" s="8" t="s">
        <v>187</v>
      </c>
      <c r="Q476" s="8" t="s">
        <v>188</v>
      </c>
      <c r="R476" s="8" t="s">
        <v>334</v>
      </c>
      <c r="S476" s="8"/>
      <c r="T476" s="8"/>
      <c r="U476" s="8" t="s">
        <v>261</v>
      </c>
      <c r="V476" s="8"/>
      <c r="W476" s="8" t="s">
        <v>306</v>
      </c>
      <c r="X476" s="8" t="s">
        <v>98</v>
      </c>
      <c r="Y476" s="8" t="s">
        <v>23</v>
      </c>
    </row>
    <row r="477" spans="1:25" hidden="1" x14ac:dyDescent="0.25">
      <c r="A477" s="283" t="s">
        <v>247</v>
      </c>
      <c r="B477" s="260">
        <v>45782</v>
      </c>
      <c r="C477" s="261" t="s">
        <v>438</v>
      </c>
      <c r="D477" s="261"/>
      <c r="E477" s="262">
        <v>1714.67</v>
      </c>
      <c r="F477" s="262">
        <v>0</v>
      </c>
      <c r="G477" s="285">
        <f>Tabla3[[#This Row],[INGRESOS]]-Tabla3[[#This Row],[EGRESOS]]</f>
        <v>-1714.67</v>
      </c>
      <c r="H477" s="285">
        <v>-7541026.4400000004</v>
      </c>
      <c r="I477" s="135">
        <v>1140</v>
      </c>
      <c r="J477" s="136">
        <f>Tabla3[[#This Row],[EGRESOS]]/Tabla3[[#This Row],[TC]]</f>
        <v>1.5040964912280703</v>
      </c>
      <c r="K477" s="136">
        <f>Tabla3[[#This Row],[INGRESOS]]/Tabla3[[#This Row],[TC]]</f>
        <v>0</v>
      </c>
      <c r="L477" s="8" t="s">
        <v>303</v>
      </c>
      <c r="M477" s="8" t="s">
        <v>304</v>
      </c>
      <c r="N477" s="8" t="s">
        <v>28</v>
      </c>
      <c r="O477" s="8" t="s">
        <v>184</v>
      </c>
      <c r="P477" s="8" t="s">
        <v>187</v>
      </c>
      <c r="Q477" s="8" t="s">
        <v>188</v>
      </c>
      <c r="R477" s="8" t="s">
        <v>317</v>
      </c>
      <c r="S477" s="8"/>
      <c r="T477" s="8"/>
      <c r="U477" s="8" t="s">
        <v>261</v>
      </c>
      <c r="V477" s="8"/>
      <c r="W477" s="8" t="s">
        <v>306</v>
      </c>
      <c r="X477" s="8" t="s">
        <v>98</v>
      </c>
      <c r="Y477" s="8" t="s">
        <v>23</v>
      </c>
    </row>
    <row r="478" spans="1:25" hidden="1" x14ac:dyDescent="0.25">
      <c r="A478" s="283" t="s">
        <v>247</v>
      </c>
      <c r="B478" s="260">
        <v>45784</v>
      </c>
      <c r="C478" s="261" t="s">
        <v>470</v>
      </c>
      <c r="D478" s="261"/>
      <c r="E478" s="262">
        <v>0</v>
      </c>
      <c r="F478" s="262">
        <v>350000</v>
      </c>
      <c r="G478" s="285">
        <f>Tabla3[[#This Row],[INGRESOS]]-Tabla3[[#This Row],[EGRESOS]]</f>
        <v>350000</v>
      </c>
      <c r="H478" s="285">
        <v>-7191026.4400000004</v>
      </c>
      <c r="I478" s="135">
        <v>1140</v>
      </c>
      <c r="J478" s="136">
        <f>Tabla3[[#This Row],[EGRESOS]]/Tabla3[[#This Row],[TC]]</f>
        <v>0</v>
      </c>
      <c r="K478" s="136">
        <f>Tabla3[[#This Row],[INGRESOS]]/Tabla3[[#This Row],[TC]]</f>
        <v>307.01754385964909</v>
      </c>
      <c r="L478" s="8" t="s">
        <v>303</v>
      </c>
      <c r="M478" s="8" t="s">
        <v>304</v>
      </c>
      <c r="N478" s="8" t="s">
        <v>28</v>
      </c>
      <c r="O478" s="8" t="s">
        <v>214</v>
      </c>
      <c r="P478" s="8" t="s">
        <v>216</v>
      </c>
      <c r="Q478" s="8" t="s">
        <v>217</v>
      </c>
      <c r="R478" s="8"/>
      <c r="S478" s="8"/>
      <c r="T478" s="8"/>
      <c r="U478" s="8" t="s">
        <v>262</v>
      </c>
      <c r="V478" s="8"/>
      <c r="W478" s="8" t="s">
        <v>306</v>
      </c>
      <c r="X478" s="8"/>
      <c r="Y478" s="8"/>
    </row>
    <row r="479" spans="1:25" hidden="1" x14ac:dyDescent="0.25">
      <c r="A479" s="283" t="s">
        <v>247</v>
      </c>
      <c r="B479" s="260">
        <v>45792</v>
      </c>
      <c r="C479" s="261" t="s">
        <v>453</v>
      </c>
      <c r="D479" s="261" t="s">
        <v>496</v>
      </c>
      <c r="E479" s="262">
        <v>278300</v>
      </c>
      <c r="F479" s="262">
        <v>0</v>
      </c>
      <c r="G479" s="285">
        <f>Tabla3[[#This Row],[INGRESOS]]-Tabla3[[#This Row],[EGRESOS]]</f>
        <v>-278300</v>
      </c>
      <c r="H479" s="285">
        <v>-7469326.4400000004</v>
      </c>
      <c r="I479" s="135">
        <v>1140</v>
      </c>
      <c r="J479" s="136">
        <f>Tabla3[[#This Row],[EGRESOS]]/Tabla3[[#This Row],[TC]]</f>
        <v>244.12280701754386</v>
      </c>
      <c r="K479" s="136">
        <f>Tabla3[[#This Row],[INGRESOS]]/Tabla3[[#This Row],[TC]]</f>
        <v>0</v>
      </c>
      <c r="L479" s="8" t="s">
        <v>303</v>
      </c>
      <c r="M479" s="8" t="s">
        <v>304</v>
      </c>
      <c r="N479" s="8" t="s">
        <v>28</v>
      </c>
      <c r="O479" s="8" t="s">
        <v>204</v>
      </c>
      <c r="P479" s="8" t="s">
        <v>205</v>
      </c>
      <c r="Q479" s="8"/>
      <c r="R479" s="8"/>
      <c r="S479" s="8" t="s">
        <v>497</v>
      </c>
      <c r="T479" s="8" t="s">
        <v>498</v>
      </c>
      <c r="U479" s="8" t="s">
        <v>258</v>
      </c>
      <c r="V479" s="8"/>
      <c r="W479" s="8" t="s">
        <v>306</v>
      </c>
      <c r="X479" s="8" t="s">
        <v>49</v>
      </c>
      <c r="Y479" s="8" t="s">
        <v>23</v>
      </c>
    </row>
    <row r="480" spans="1:25" hidden="1" x14ac:dyDescent="0.25">
      <c r="A480" s="283" t="s">
        <v>247</v>
      </c>
      <c r="B480" s="260">
        <v>45792</v>
      </c>
      <c r="C480" s="261" t="s">
        <v>438</v>
      </c>
      <c r="D480" s="261"/>
      <c r="E480" s="262">
        <v>1669.8</v>
      </c>
      <c r="F480" s="262">
        <v>0</v>
      </c>
      <c r="G480" s="285">
        <f>Tabla3[[#This Row],[INGRESOS]]-Tabla3[[#This Row],[EGRESOS]]</f>
        <v>-1669.8</v>
      </c>
      <c r="H480" s="285">
        <v>-7470996.2400000002</v>
      </c>
      <c r="I480" s="135">
        <v>1140</v>
      </c>
      <c r="J480" s="136">
        <f>Tabla3[[#This Row],[EGRESOS]]/Tabla3[[#This Row],[TC]]</f>
        <v>1.4647368421052631</v>
      </c>
      <c r="K480" s="136">
        <f>Tabla3[[#This Row],[INGRESOS]]/Tabla3[[#This Row],[TC]]</f>
        <v>0</v>
      </c>
      <c r="L480" s="8" t="s">
        <v>303</v>
      </c>
      <c r="M480" s="8" t="s">
        <v>304</v>
      </c>
      <c r="N480" s="8" t="s">
        <v>28</v>
      </c>
      <c r="O480" s="8" t="s">
        <v>184</v>
      </c>
      <c r="P480" s="8" t="s">
        <v>187</v>
      </c>
      <c r="Q480" s="8" t="s">
        <v>188</v>
      </c>
      <c r="R480" s="8" t="s">
        <v>317</v>
      </c>
      <c r="S480" s="8"/>
      <c r="T480" s="8"/>
      <c r="U480" s="8" t="s">
        <v>261</v>
      </c>
      <c r="V480" s="8"/>
      <c r="W480" s="8" t="s">
        <v>306</v>
      </c>
      <c r="X480" s="8" t="s">
        <v>98</v>
      </c>
      <c r="Y480" s="8" t="s">
        <v>23</v>
      </c>
    </row>
    <row r="481" spans="1:25" hidden="1" x14ac:dyDescent="0.25">
      <c r="A481" s="283" t="s">
        <v>247</v>
      </c>
      <c r="B481" s="260">
        <v>45793</v>
      </c>
      <c r="C481" s="261" t="s">
        <v>499</v>
      </c>
      <c r="D481" s="261" t="s">
        <v>500</v>
      </c>
      <c r="E481" s="262">
        <v>1253833.94</v>
      </c>
      <c r="F481" s="262">
        <v>0</v>
      </c>
      <c r="G481" s="285">
        <f>Tabla3[[#This Row],[INGRESOS]]-Tabla3[[#This Row],[EGRESOS]]</f>
        <v>-1253833.94</v>
      </c>
      <c r="H481" s="285">
        <v>-8724830.1799999997</v>
      </c>
      <c r="I481" s="135">
        <v>1140</v>
      </c>
      <c r="J481" s="136">
        <f>Tabla3[[#This Row],[EGRESOS]]/Tabla3[[#This Row],[TC]]</f>
        <v>1099.8543333333332</v>
      </c>
      <c r="K481" s="136">
        <f>Tabla3[[#This Row],[INGRESOS]]/Tabla3[[#This Row],[TC]]</f>
        <v>0</v>
      </c>
      <c r="L481" s="8" t="s">
        <v>303</v>
      </c>
      <c r="M481" s="8" t="s">
        <v>304</v>
      </c>
      <c r="N481" s="8" t="s">
        <v>28</v>
      </c>
      <c r="O481" s="8" t="s">
        <v>197</v>
      </c>
      <c r="P481" s="8" t="s">
        <v>238</v>
      </c>
      <c r="Q481" s="8" t="s">
        <v>239</v>
      </c>
      <c r="R481" s="8" t="s">
        <v>501</v>
      </c>
      <c r="S481" s="8" t="s">
        <v>502</v>
      </c>
      <c r="T481" s="8" t="s">
        <v>837</v>
      </c>
      <c r="U481" s="8" t="s">
        <v>258</v>
      </c>
      <c r="V481" s="8"/>
      <c r="W481" s="8" t="s">
        <v>306</v>
      </c>
      <c r="X481" s="8" t="s">
        <v>41</v>
      </c>
      <c r="Y481" s="8" t="s">
        <v>23</v>
      </c>
    </row>
    <row r="482" spans="1:25" hidden="1" x14ac:dyDescent="0.25">
      <c r="A482" s="283" t="s">
        <v>247</v>
      </c>
      <c r="B482" s="260">
        <v>45793</v>
      </c>
      <c r="C482" s="261" t="s">
        <v>470</v>
      </c>
      <c r="D482" s="261"/>
      <c r="E482" s="262">
        <v>0</v>
      </c>
      <c r="F482" s="262">
        <v>1600000</v>
      </c>
      <c r="G482" s="285">
        <f>Tabla3[[#This Row],[INGRESOS]]-Tabla3[[#This Row],[EGRESOS]]</f>
        <v>1600000</v>
      </c>
      <c r="H482" s="285">
        <v>-7124830.1799999997</v>
      </c>
      <c r="I482" s="135">
        <v>1140</v>
      </c>
      <c r="J482" s="136">
        <f>Tabla3[[#This Row],[EGRESOS]]/Tabla3[[#This Row],[TC]]</f>
        <v>0</v>
      </c>
      <c r="K482" s="136">
        <f>Tabla3[[#This Row],[INGRESOS]]/Tabla3[[#This Row],[TC]]</f>
        <v>1403.5087719298247</v>
      </c>
      <c r="L482" s="8" t="s">
        <v>303</v>
      </c>
      <c r="M482" s="8" t="s">
        <v>304</v>
      </c>
      <c r="N482" s="8" t="s">
        <v>28</v>
      </c>
      <c r="O482" s="8" t="s">
        <v>214</v>
      </c>
      <c r="P482" s="8" t="s">
        <v>216</v>
      </c>
      <c r="Q482" s="8" t="s">
        <v>217</v>
      </c>
      <c r="R482" s="8" t="s">
        <v>388</v>
      </c>
      <c r="S482" s="8"/>
      <c r="T482" s="8"/>
      <c r="U482" s="8" t="s">
        <v>262</v>
      </c>
      <c r="V482" s="8"/>
      <c r="W482" s="8" t="s">
        <v>306</v>
      </c>
      <c r="X482" s="8"/>
      <c r="Y482" s="8"/>
    </row>
    <row r="483" spans="1:25" hidden="1" x14ac:dyDescent="0.25">
      <c r="A483" s="283" t="s">
        <v>247</v>
      </c>
      <c r="B483" s="260">
        <v>45793</v>
      </c>
      <c r="C483" s="261" t="s">
        <v>438</v>
      </c>
      <c r="D483" s="261"/>
      <c r="E483" s="262">
        <v>7523</v>
      </c>
      <c r="F483" s="262">
        <v>0</v>
      </c>
      <c r="G483" s="285">
        <f>Tabla3[[#This Row],[INGRESOS]]-Tabla3[[#This Row],[EGRESOS]]</f>
        <v>-7523</v>
      </c>
      <c r="H483" s="285">
        <v>-7132353.1799999997</v>
      </c>
      <c r="I483" s="135">
        <v>1140</v>
      </c>
      <c r="J483" s="136">
        <f>Tabla3[[#This Row],[EGRESOS]]/Tabla3[[#This Row],[TC]]</f>
        <v>6.5991228070175438</v>
      </c>
      <c r="K483" s="136">
        <f>Tabla3[[#This Row],[INGRESOS]]/Tabla3[[#This Row],[TC]]</f>
        <v>0</v>
      </c>
      <c r="L483" s="8" t="s">
        <v>303</v>
      </c>
      <c r="M483" s="8" t="s">
        <v>304</v>
      </c>
      <c r="N483" s="8" t="s">
        <v>28</v>
      </c>
      <c r="O483" s="8" t="s">
        <v>184</v>
      </c>
      <c r="P483" s="8" t="s">
        <v>187</v>
      </c>
      <c r="Q483" s="8" t="s">
        <v>188</v>
      </c>
      <c r="R483" s="8" t="s">
        <v>317</v>
      </c>
      <c r="S483" s="8"/>
      <c r="T483" s="8"/>
      <c r="U483" s="8" t="s">
        <v>261</v>
      </c>
      <c r="V483" s="8"/>
      <c r="W483" s="8" t="s">
        <v>306</v>
      </c>
      <c r="X483" s="8" t="s">
        <v>98</v>
      </c>
      <c r="Y483" s="8" t="s">
        <v>23</v>
      </c>
    </row>
    <row r="484" spans="1:25" hidden="1" x14ac:dyDescent="0.25">
      <c r="A484" s="283" t="s">
        <v>247</v>
      </c>
      <c r="B484" s="260">
        <v>45805</v>
      </c>
      <c r="C484" s="261" t="s">
        <v>499</v>
      </c>
      <c r="D484" s="261" t="s">
        <v>809</v>
      </c>
      <c r="E484" s="262">
        <v>1473622.75</v>
      </c>
      <c r="F484" s="262">
        <v>0</v>
      </c>
      <c r="G484" s="285">
        <f>Tabla3[[#This Row],[INGRESOS]]-Tabla3[[#This Row],[EGRESOS]]</f>
        <v>-1473622.75</v>
      </c>
      <c r="H484" s="285">
        <v>-8605975.9299999997</v>
      </c>
      <c r="I484" s="135">
        <v>1140</v>
      </c>
      <c r="J484" s="136">
        <f>Tabla3[[#This Row],[EGRESOS]]/Tabla3[[#This Row],[TC]]</f>
        <v>1292.6515350877194</v>
      </c>
      <c r="K484" s="136">
        <f>Tabla3[[#This Row],[INGRESOS]]/Tabla3[[#This Row],[TC]]</f>
        <v>0</v>
      </c>
      <c r="L484" s="8" t="s">
        <v>303</v>
      </c>
      <c r="M484" s="8" t="s">
        <v>304</v>
      </c>
      <c r="N484" s="8" t="s">
        <v>28</v>
      </c>
      <c r="O484" s="8" t="s">
        <v>197</v>
      </c>
      <c r="P484" s="8" t="s">
        <v>198</v>
      </c>
      <c r="Q484" s="8" t="s">
        <v>201</v>
      </c>
      <c r="R484" s="8" t="s">
        <v>203</v>
      </c>
      <c r="S484" s="8" t="s">
        <v>526</v>
      </c>
      <c r="T484" s="8" t="s">
        <v>812</v>
      </c>
      <c r="U484" s="8" t="s">
        <v>258</v>
      </c>
      <c r="V484" s="8"/>
      <c r="W484" s="8" t="s">
        <v>392</v>
      </c>
      <c r="X484" s="8" t="s">
        <v>29</v>
      </c>
      <c r="Y484" s="8" t="s">
        <v>23</v>
      </c>
    </row>
    <row r="485" spans="1:25" x14ac:dyDescent="0.25">
      <c r="A485" s="283" t="s">
        <v>247</v>
      </c>
      <c r="B485" s="260">
        <v>45805</v>
      </c>
      <c r="C485" s="261" t="s">
        <v>453</v>
      </c>
      <c r="D485" s="261" t="s">
        <v>810</v>
      </c>
      <c r="E485" s="262">
        <v>1215000</v>
      </c>
      <c r="F485" s="262">
        <v>0</v>
      </c>
      <c r="G485" s="285">
        <f>Tabla3[[#This Row],[INGRESOS]]-Tabla3[[#This Row],[EGRESOS]]</f>
        <v>-1215000</v>
      </c>
      <c r="H485" s="135">
        <f>H484-Tabla3[[#This Row],[EGRESOS]]</f>
        <v>-9820975.9299999997</v>
      </c>
      <c r="I485" s="135">
        <v>1140</v>
      </c>
      <c r="J485" s="136">
        <f>Tabla3[[#This Row],[EGRESOS]]/Tabla3[[#This Row],[TC]]</f>
        <v>1065.7894736842106</v>
      </c>
      <c r="K485" s="136">
        <f>Tabla3[[#This Row],[INGRESOS]]/Tabla3[[#This Row],[TC]]</f>
        <v>0</v>
      </c>
      <c r="L485" s="8" t="s">
        <v>303</v>
      </c>
      <c r="M485" s="8" t="s">
        <v>304</v>
      </c>
      <c r="N485" s="8" t="s">
        <v>28</v>
      </c>
      <c r="O485" s="8" t="s">
        <v>742</v>
      </c>
      <c r="P485" s="8" t="s">
        <v>220</v>
      </c>
      <c r="Q485" s="8" t="s">
        <v>231</v>
      </c>
      <c r="R485" s="8"/>
      <c r="S485" s="8" t="s">
        <v>588</v>
      </c>
      <c r="T485" s="8" t="s">
        <v>811</v>
      </c>
      <c r="U485" s="8" t="s">
        <v>258</v>
      </c>
      <c r="V485" s="8"/>
      <c r="W485" s="8" t="s">
        <v>306</v>
      </c>
      <c r="X485" s="8" t="s">
        <v>49</v>
      </c>
      <c r="Y485" s="8" t="s">
        <v>23</v>
      </c>
    </row>
    <row r="486" spans="1:25" hidden="1" x14ac:dyDescent="0.25">
      <c r="A486" s="283" t="s">
        <v>247</v>
      </c>
      <c r="B486" s="260">
        <v>45805</v>
      </c>
      <c r="C486" s="261" t="s">
        <v>470</v>
      </c>
      <c r="D486" s="261"/>
      <c r="E486" s="262">
        <v>0</v>
      </c>
      <c r="F486" s="262">
        <v>2750000</v>
      </c>
      <c r="G486" s="285">
        <f>Tabla3[[#This Row],[INGRESOS]]-Tabla3[[#This Row],[EGRESOS]]</f>
        <v>2750000</v>
      </c>
      <c r="H486" s="135">
        <v>-7070975.9299999997</v>
      </c>
      <c r="I486" s="135">
        <v>1140</v>
      </c>
      <c r="J486" s="136">
        <f>Tabla3[[#This Row],[EGRESOS]]/Tabla3[[#This Row],[TC]]</f>
        <v>0</v>
      </c>
      <c r="K486" s="136">
        <f>Tabla3[[#This Row],[INGRESOS]]/Tabla3[[#This Row],[TC]]</f>
        <v>2412.280701754386</v>
      </c>
      <c r="L486" s="8" t="s">
        <v>303</v>
      </c>
      <c r="M486" s="8" t="s">
        <v>304</v>
      </c>
      <c r="N486" s="8" t="s">
        <v>28</v>
      </c>
      <c r="O486" s="8" t="s">
        <v>214</v>
      </c>
      <c r="P486" s="8" t="s">
        <v>216</v>
      </c>
      <c r="Q486" s="8" t="s">
        <v>217</v>
      </c>
      <c r="R486" s="8" t="s">
        <v>388</v>
      </c>
      <c r="S486" s="8"/>
      <c r="T486" s="8"/>
      <c r="U486" s="8" t="s">
        <v>262</v>
      </c>
      <c r="V486" s="8"/>
      <c r="W486" s="8"/>
      <c r="X486" s="8"/>
      <c r="Y486" s="8"/>
    </row>
    <row r="487" spans="1:25" hidden="1" x14ac:dyDescent="0.25">
      <c r="A487" s="283" t="s">
        <v>247</v>
      </c>
      <c r="B487" s="260">
        <v>45805</v>
      </c>
      <c r="C487" s="261" t="s">
        <v>438</v>
      </c>
      <c r="D487" s="261"/>
      <c r="E487" s="262">
        <v>16131.74</v>
      </c>
      <c r="F487" s="262">
        <v>0</v>
      </c>
      <c r="G487" s="285">
        <f>Tabla3[[#This Row],[INGRESOS]]-Tabla3[[#This Row],[EGRESOS]]</f>
        <v>-16131.74</v>
      </c>
      <c r="H487" s="135">
        <v>-7087107.6699999999</v>
      </c>
      <c r="I487" s="135">
        <v>1140</v>
      </c>
      <c r="J487" s="136">
        <f>Tabla3[[#This Row],[EGRESOS]]/Tabla3[[#This Row],[TC]]</f>
        <v>14.150649122807017</v>
      </c>
      <c r="K487" s="136">
        <f>Tabla3[[#This Row],[INGRESOS]]/Tabla3[[#This Row],[TC]]</f>
        <v>0</v>
      </c>
      <c r="L487" s="8" t="s">
        <v>303</v>
      </c>
      <c r="M487" s="8" t="s">
        <v>304</v>
      </c>
      <c r="N487" s="8" t="s">
        <v>28</v>
      </c>
      <c r="O487" s="8" t="s">
        <v>184</v>
      </c>
      <c r="P487" s="8" t="s">
        <v>187</v>
      </c>
      <c r="Q487" s="8" t="s">
        <v>188</v>
      </c>
      <c r="R487" s="8" t="s">
        <v>317</v>
      </c>
      <c r="S487" s="8"/>
      <c r="T487" s="8"/>
      <c r="U487" s="8" t="s">
        <v>261</v>
      </c>
      <c r="V487" s="8"/>
      <c r="W487" s="8" t="s">
        <v>306</v>
      </c>
      <c r="X487" s="8" t="s">
        <v>98</v>
      </c>
      <c r="Y487" s="8" t="s">
        <v>23</v>
      </c>
    </row>
    <row r="488" spans="1:25" hidden="1" x14ac:dyDescent="0.25">
      <c r="A488" s="283" t="s">
        <v>247</v>
      </c>
      <c r="B488" s="260">
        <v>45807</v>
      </c>
      <c r="C488" s="261" t="s">
        <v>499</v>
      </c>
      <c r="D488" s="261" t="s">
        <v>817</v>
      </c>
      <c r="E488" s="262">
        <v>249382.72</v>
      </c>
      <c r="F488" s="262">
        <v>0</v>
      </c>
      <c r="G488" s="285">
        <f>Tabla3[[#This Row],[INGRESOS]]-Tabla3[[#This Row],[EGRESOS]]</f>
        <v>-249382.72</v>
      </c>
      <c r="H488" s="135">
        <v>-7336490.3899999997</v>
      </c>
      <c r="I488" s="135">
        <v>1140</v>
      </c>
      <c r="J488" s="136">
        <f>Tabla3[[#This Row],[EGRESOS]]/Tabla3[[#This Row],[TC]]</f>
        <v>218.75677192982457</v>
      </c>
      <c r="K488" s="136">
        <f>Tabla3[[#This Row],[INGRESOS]]/Tabla3[[#This Row],[TC]]</f>
        <v>0</v>
      </c>
      <c r="L488" s="8" t="s">
        <v>303</v>
      </c>
      <c r="M488" s="8" t="s">
        <v>304</v>
      </c>
      <c r="N488" s="8" t="s">
        <v>28</v>
      </c>
      <c r="O488" s="8" t="s">
        <v>204</v>
      </c>
      <c r="P488" s="8" t="s">
        <v>208</v>
      </c>
      <c r="Q488" s="8"/>
      <c r="R488" s="8"/>
      <c r="S488" s="8" t="s">
        <v>523</v>
      </c>
      <c r="T488" s="8" t="s">
        <v>818</v>
      </c>
      <c r="U488" s="8" t="s">
        <v>258</v>
      </c>
      <c r="V488" s="8"/>
      <c r="W488" s="8" t="s">
        <v>306</v>
      </c>
      <c r="X488" s="8" t="s">
        <v>49</v>
      </c>
      <c r="Y488" s="8" t="s">
        <v>23</v>
      </c>
    </row>
    <row r="489" spans="1:25" hidden="1" x14ac:dyDescent="0.25">
      <c r="A489" s="283" t="s">
        <v>247</v>
      </c>
      <c r="B489" s="260">
        <v>45807</v>
      </c>
      <c r="C489" s="261" t="s">
        <v>453</v>
      </c>
      <c r="D489" s="261" t="s">
        <v>816</v>
      </c>
      <c r="E489" s="262">
        <v>300000</v>
      </c>
      <c r="F489" s="262">
        <v>0</v>
      </c>
      <c r="G489" s="285">
        <f>Tabla3[[#This Row],[INGRESOS]]-Tabla3[[#This Row],[EGRESOS]]</f>
        <v>-300000</v>
      </c>
      <c r="H489" s="135">
        <v>-7636490.3899999997</v>
      </c>
      <c r="I489" s="135">
        <v>1140</v>
      </c>
      <c r="J489" s="136">
        <f>Tabla3[[#This Row],[EGRESOS]]/Tabla3[[#This Row],[TC]]</f>
        <v>263.15789473684208</v>
      </c>
      <c r="K489" s="136">
        <f>Tabla3[[#This Row],[INGRESOS]]/Tabla3[[#This Row],[TC]]</f>
        <v>0</v>
      </c>
      <c r="L489" s="8" t="s">
        <v>303</v>
      </c>
      <c r="M489" s="8" t="s">
        <v>304</v>
      </c>
      <c r="N489" s="8" t="s">
        <v>28</v>
      </c>
      <c r="O489" s="8" t="s">
        <v>204</v>
      </c>
      <c r="P489" s="8" t="s">
        <v>210</v>
      </c>
      <c r="Q489" s="8" t="s">
        <v>251</v>
      </c>
      <c r="R489" s="8" t="s">
        <v>710</v>
      </c>
      <c r="S489" s="8" t="s">
        <v>820</v>
      </c>
      <c r="T489" s="8" t="s">
        <v>819</v>
      </c>
      <c r="U489" s="8" t="s">
        <v>258</v>
      </c>
      <c r="V489" s="8"/>
      <c r="W489" s="8" t="s">
        <v>306</v>
      </c>
      <c r="X489" s="8" t="s">
        <v>49</v>
      </c>
      <c r="Y489" s="8" t="s">
        <v>23</v>
      </c>
    </row>
    <row r="490" spans="1:25" hidden="1" x14ac:dyDescent="0.25">
      <c r="A490" s="283" t="s">
        <v>247</v>
      </c>
      <c r="B490" s="260">
        <v>45807</v>
      </c>
      <c r="C490" s="261" t="s">
        <v>470</v>
      </c>
      <c r="D490" s="261"/>
      <c r="E490" s="262">
        <v>0</v>
      </c>
      <c r="F490" s="262">
        <v>500000</v>
      </c>
      <c r="G490" s="285">
        <f>Tabla3[[#This Row],[INGRESOS]]-Tabla3[[#This Row],[EGRESOS]]</f>
        <v>500000</v>
      </c>
      <c r="H490" s="135">
        <v>-7936490.3899999997</v>
      </c>
      <c r="I490" s="135">
        <v>1140</v>
      </c>
      <c r="J490" s="136">
        <f>Tabla3[[#This Row],[EGRESOS]]/Tabla3[[#This Row],[TC]]</f>
        <v>0</v>
      </c>
      <c r="K490" s="136">
        <f>Tabla3[[#This Row],[INGRESOS]]/Tabla3[[#This Row],[TC]]</f>
        <v>438.59649122807019</v>
      </c>
      <c r="L490" s="8" t="s">
        <v>303</v>
      </c>
      <c r="M490" s="8" t="s">
        <v>304</v>
      </c>
      <c r="N490" s="8" t="s">
        <v>28</v>
      </c>
      <c r="O490" s="8" t="s">
        <v>214</v>
      </c>
      <c r="P490" s="8" t="s">
        <v>216</v>
      </c>
      <c r="Q490" s="8" t="s">
        <v>217</v>
      </c>
      <c r="R490" s="8" t="s">
        <v>388</v>
      </c>
      <c r="S490" s="8"/>
      <c r="T490" s="8"/>
      <c r="U490" s="8" t="s">
        <v>262</v>
      </c>
      <c r="V490" s="8"/>
      <c r="W490" s="8"/>
      <c r="X490" s="8"/>
      <c r="Y490" s="8"/>
    </row>
    <row r="491" spans="1:25" hidden="1" x14ac:dyDescent="0.25">
      <c r="A491" s="283" t="s">
        <v>247</v>
      </c>
      <c r="B491" s="260">
        <v>45807</v>
      </c>
      <c r="C491" s="261" t="s">
        <v>438</v>
      </c>
      <c r="D491" s="261"/>
      <c r="E491" s="262">
        <v>3296.3</v>
      </c>
      <c r="F491" s="262">
        <v>0</v>
      </c>
      <c r="G491" s="285">
        <f>Tabla3[[#This Row],[INGRESOS]]-Tabla3[[#This Row],[EGRESOS]]</f>
        <v>-3296.3</v>
      </c>
      <c r="H491" s="135">
        <v>-8236490.3899999997</v>
      </c>
      <c r="I491" s="135">
        <v>1140</v>
      </c>
      <c r="J491" s="136">
        <f>Tabla3[[#This Row],[EGRESOS]]/Tabla3[[#This Row],[TC]]</f>
        <v>2.8914912280701754</v>
      </c>
      <c r="K491" s="136">
        <f>Tabla3[[#This Row],[INGRESOS]]/Tabla3[[#This Row],[TC]]</f>
        <v>0</v>
      </c>
      <c r="L491" s="8" t="s">
        <v>303</v>
      </c>
      <c r="M491" s="8" t="s">
        <v>304</v>
      </c>
      <c r="N491" s="8" t="s">
        <v>28</v>
      </c>
      <c r="O491" s="8" t="s">
        <v>184</v>
      </c>
      <c r="P491" s="8" t="s">
        <v>187</v>
      </c>
      <c r="Q491" s="8" t="s">
        <v>188</v>
      </c>
      <c r="R491" s="8" t="s">
        <v>317</v>
      </c>
      <c r="S491" s="8"/>
      <c r="T491" s="8"/>
      <c r="U491" s="8" t="s">
        <v>261</v>
      </c>
      <c r="V491" s="8"/>
      <c r="W491" s="8" t="s">
        <v>306</v>
      </c>
      <c r="X491" s="8" t="s">
        <v>98</v>
      </c>
      <c r="Y491" s="8" t="s">
        <v>23</v>
      </c>
    </row>
    <row r="492" spans="1:25" hidden="1" x14ac:dyDescent="0.25">
      <c r="A492" s="283" t="s">
        <v>725</v>
      </c>
      <c r="B492" s="260">
        <v>45810</v>
      </c>
      <c r="C492" s="261" t="s">
        <v>437</v>
      </c>
      <c r="D492" s="261"/>
      <c r="E492" s="262">
        <v>48000</v>
      </c>
      <c r="F492" s="262">
        <v>0</v>
      </c>
      <c r="G492" s="285">
        <f>Tabla3[[#This Row],[INGRESOS]]-Tabla3[[#This Row],[EGRESOS]]</f>
        <v>-48000</v>
      </c>
      <c r="H492" s="135">
        <v>-7187786.6900000004</v>
      </c>
      <c r="I492" s="135">
        <v>1140</v>
      </c>
      <c r="J492" s="136">
        <f>Tabla3[[#This Row],[EGRESOS]]/Tabla3[[#This Row],[TC]]</f>
        <v>42.10526315789474</v>
      </c>
      <c r="K492" s="136">
        <f>Tabla3[[#This Row],[INGRESOS]]/Tabla3[[#This Row],[TC]]</f>
        <v>0</v>
      </c>
      <c r="L492" s="8" t="s">
        <v>303</v>
      </c>
      <c r="M492" s="8" t="s">
        <v>304</v>
      </c>
      <c r="N492" s="8" t="s">
        <v>28</v>
      </c>
      <c r="O492" s="8" t="s">
        <v>184</v>
      </c>
      <c r="P492" s="8" t="s">
        <v>185</v>
      </c>
      <c r="Q492" s="8" t="s">
        <v>186</v>
      </c>
      <c r="R492" s="8"/>
      <c r="S492" s="8"/>
      <c r="T492" s="8"/>
      <c r="U492" s="8" t="s">
        <v>261</v>
      </c>
      <c r="V492" s="8"/>
      <c r="W492" s="8" t="s">
        <v>306</v>
      </c>
      <c r="X492" s="8" t="s">
        <v>98</v>
      </c>
      <c r="Y492" s="8" t="s">
        <v>23</v>
      </c>
    </row>
    <row r="493" spans="1:25" hidden="1" x14ac:dyDescent="0.25">
      <c r="A493" s="283" t="s">
        <v>725</v>
      </c>
      <c r="B493" s="260">
        <v>45810</v>
      </c>
      <c r="C493" s="261" t="s">
        <v>865</v>
      </c>
      <c r="D493" s="261"/>
      <c r="E493" s="262">
        <v>10080</v>
      </c>
      <c r="F493" s="262">
        <v>0</v>
      </c>
      <c r="G493" s="285">
        <f>Tabla3[[#This Row],[INGRESOS]]-Tabla3[[#This Row],[EGRESOS]]</f>
        <v>-10080</v>
      </c>
      <c r="H493" s="135">
        <v>-7197866.6900000004</v>
      </c>
      <c r="I493" s="135">
        <v>1140</v>
      </c>
      <c r="J493" s="136">
        <f>Tabla3[[#This Row],[EGRESOS]]/Tabla3[[#This Row],[TC]]</f>
        <v>8.8421052631578956</v>
      </c>
      <c r="K493" s="136">
        <f>Tabla3[[#This Row],[INGRESOS]]/Tabla3[[#This Row],[TC]]</f>
        <v>0</v>
      </c>
      <c r="L493" s="8" t="s">
        <v>303</v>
      </c>
      <c r="M493" s="8" t="s">
        <v>304</v>
      </c>
      <c r="N493" s="8" t="s">
        <v>28</v>
      </c>
      <c r="O493" s="8" t="s">
        <v>184</v>
      </c>
      <c r="P493" s="8" t="s">
        <v>187</v>
      </c>
      <c r="Q493" s="8" t="s">
        <v>188</v>
      </c>
      <c r="R493" s="8" t="s">
        <v>308</v>
      </c>
      <c r="S493" s="8"/>
      <c r="T493" s="8"/>
      <c r="U493" s="8" t="s">
        <v>261</v>
      </c>
      <c r="V493" s="8"/>
      <c r="W493" s="8" t="s">
        <v>306</v>
      </c>
      <c r="X493" s="8" t="s">
        <v>98</v>
      </c>
      <c r="Y493" s="8" t="s">
        <v>23</v>
      </c>
    </row>
    <row r="494" spans="1:25" hidden="1" x14ac:dyDescent="0.25">
      <c r="A494" s="283" t="s">
        <v>725</v>
      </c>
      <c r="B494" s="260">
        <v>45810</v>
      </c>
      <c r="C494" s="261" t="s">
        <v>866</v>
      </c>
      <c r="D494" s="261"/>
      <c r="E494" s="262">
        <v>1440</v>
      </c>
      <c r="F494" s="262">
        <v>0</v>
      </c>
      <c r="G494" s="285">
        <f>Tabla3[[#This Row],[INGRESOS]]-Tabla3[[#This Row],[EGRESOS]]</f>
        <v>-1440</v>
      </c>
      <c r="H494" s="135">
        <v>-7199306.6900000004</v>
      </c>
      <c r="I494" s="135">
        <v>1140</v>
      </c>
      <c r="J494" s="136">
        <f>Tabla3[[#This Row],[EGRESOS]]/Tabla3[[#This Row],[TC]]</f>
        <v>1.263157894736842</v>
      </c>
      <c r="K494" s="136">
        <f>Tabla3[[#This Row],[INGRESOS]]/Tabla3[[#This Row],[TC]]</f>
        <v>0</v>
      </c>
      <c r="L494" s="8" t="s">
        <v>303</v>
      </c>
      <c r="M494" s="8" t="s">
        <v>304</v>
      </c>
      <c r="N494" s="8" t="s">
        <v>28</v>
      </c>
      <c r="O494" s="8" t="s">
        <v>184</v>
      </c>
      <c r="P494" s="8" t="s">
        <v>187</v>
      </c>
      <c r="Q494" s="8" t="s">
        <v>188</v>
      </c>
      <c r="R494" s="8" t="s">
        <v>475</v>
      </c>
      <c r="S494" s="8"/>
      <c r="T494" s="8"/>
      <c r="U494" s="8" t="s">
        <v>261</v>
      </c>
      <c r="V494" s="8"/>
      <c r="W494" s="8" t="s">
        <v>306</v>
      </c>
      <c r="X494" s="8" t="s">
        <v>98</v>
      </c>
      <c r="Y494" s="8" t="s">
        <v>23</v>
      </c>
    </row>
    <row r="495" spans="1:25" hidden="1" x14ac:dyDescent="0.25">
      <c r="A495" s="283" t="s">
        <v>725</v>
      </c>
      <c r="B495" s="260">
        <v>45810</v>
      </c>
      <c r="C495" s="261" t="s">
        <v>867</v>
      </c>
      <c r="D495" s="261"/>
      <c r="E495" s="262">
        <v>7200</v>
      </c>
      <c r="F495" s="262">
        <v>0</v>
      </c>
      <c r="G495" s="285">
        <f>Tabla3[[#This Row],[INGRESOS]]-Tabla3[[#This Row],[EGRESOS]]</f>
        <v>-7200</v>
      </c>
      <c r="H495" s="135">
        <v>-7206506.6900000004</v>
      </c>
      <c r="I495" s="135">
        <v>1140</v>
      </c>
      <c r="J495" s="136">
        <f>Tabla3[[#This Row],[EGRESOS]]/Tabla3[[#This Row],[TC]]</f>
        <v>6.3157894736842106</v>
      </c>
      <c r="K495" s="136">
        <f>Tabla3[[#This Row],[INGRESOS]]/Tabla3[[#This Row],[TC]]</f>
        <v>0</v>
      </c>
      <c r="L495" s="8" t="s">
        <v>303</v>
      </c>
      <c r="M495" s="8" t="s">
        <v>304</v>
      </c>
      <c r="N495" s="8" t="s">
        <v>28</v>
      </c>
      <c r="O495" s="8" t="s">
        <v>184</v>
      </c>
      <c r="P495" s="8" t="s">
        <v>185</v>
      </c>
      <c r="Q495" s="8" t="s">
        <v>186</v>
      </c>
      <c r="R495" s="8"/>
      <c r="S495" s="8"/>
      <c r="T495" s="8"/>
      <c r="U495" s="8" t="s">
        <v>261</v>
      </c>
      <c r="V495" s="8"/>
      <c r="W495" s="8" t="s">
        <v>306</v>
      </c>
      <c r="X495" s="8" t="s">
        <v>98</v>
      </c>
      <c r="Y495" s="8" t="s">
        <v>23</v>
      </c>
    </row>
    <row r="496" spans="1:25" hidden="1" x14ac:dyDescent="0.25">
      <c r="A496" s="283" t="s">
        <v>725</v>
      </c>
      <c r="B496" s="260">
        <v>45810</v>
      </c>
      <c r="C496" s="261" t="s">
        <v>865</v>
      </c>
      <c r="D496" s="261"/>
      <c r="E496" s="262">
        <v>1512</v>
      </c>
      <c r="F496" s="262">
        <v>0</v>
      </c>
      <c r="G496" s="285">
        <f>Tabla3[[#This Row],[INGRESOS]]-Tabla3[[#This Row],[EGRESOS]]</f>
        <v>-1512</v>
      </c>
      <c r="H496" s="135">
        <v>-7208018.6900000004</v>
      </c>
      <c r="I496" s="135">
        <v>1140</v>
      </c>
      <c r="J496" s="136">
        <f>Tabla3[[#This Row],[EGRESOS]]/Tabla3[[#This Row],[TC]]</f>
        <v>1.3263157894736841</v>
      </c>
      <c r="K496" s="136">
        <f>Tabla3[[#This Row],[INGRESOS]]/Tabla3[[#This Row],[TC]]</f>
        <v>0</v>
      </c>
      <c r="L496" s="8" t="s">
        <v>303</v>
      </c>
      <c r="M496" s="8" t="s">
        <v>304</v>
      </c>
      <c r="N496" s="8" t="s">
        <v>28</v>
      </c>
      <c r="O496" s="8" t="s">
        <v>184</v>
      </c>
      <c r="P496" s="8" t="s">
        <v>187</v>
      </c>
      <c r="Q496" s="8" t="s">
        <v>188</v>
      </c>
      <c r="R496" s="8" t="s">
        <v>308</v>
      </c>
      <c r="S496" s="8"/>
      <c r="T496" s="8"/>
      <c r="U496" s="8" t="s">
        <v>261</v>
      </c>
      <c r="V496" s="8"/>
      <c r="W496" s="8" t="s">
        <v>306</v>
      </c>
      <c r="X496" s="8" t="s">
        <v>98</v>
      </c>
      <c r="Y496" s="8" t="s">
        <v>23</v>
      </c>
    </row>
    <row r="497" spans="1:25" hidden="1" x14ac:dyDescent="0.25">
      <c r="A497" s="283" t="s">
        <v>725</v>
      </c>
      <c r="B497" s="260">
        <v>45810</v>
      </c>
      <c r="C497" s="261" t="s">
        <v>866</v>
      </c>
      <c r="D497" s="261"/>
      <c r="E497" s="262">
        <v>216</v>
      </c>
      <c r="F497" s="262">
        <v>0</v>
      </c>
      <c r="G497" s="285">
        <f>Tabla3[[#This Row],[INGRESOS]]-Tabla3[[#This Row],[EGRESOS]]</f>
        <v>-216</v>
      </c>
      <c r="H497" s="135">
        <v>-7208234.6900000004</v>
      </c>
      <c r="I497" s="135">
        <v>1140</v>
      </c>
      <c r="J497" s="136">
        <f>Tabla3[[#This Row],[EGRESOS]]/Tabla3[[#This Row],[TC]]</f>
        <v>0.18947368421052632</v>
      </c>
      <c r="K497" s="136">
        <f>Tabla3[[#This Row],[INGRESOS]]/Tabla3[[#This Row],[TC]]</f>
        <v>0</v>
      </c>
      <c r="L497" s="8" t="s">
        <v>303</v>
      </c>
      <c r="M497" s="8" t="s">
        <v>304</v>
      </c>
      <c r="N497" s="8" t="s">
        <v>28</v>
      </c>
      <c r="O497" s="8" t="s">
        <v>184</v>
      </c>
      <c r="P497" s="8" t="s">
        <v>187</v>
      </c>
      <c r="Q497" s="8" t="s">
        <v>188</v>
      </c>
      <c r="R497" s="8" t="s">
        <v>475</v>
      </c>
      <c r="S497" s="8"/>
      <c r="T497" s="8"/>
      <c r="U497" s="8" t="s">
        <v>261</v>
      </c>
      <c r="V497" s="8"/>
      <c r="W497" s="8" t="s">
        <v>306</v>
      </c>
      <c r="X497" s="8" t="s">
        <v>98</v>
      </c>
      <c r="Y497" s="8" t="s">
        <v>23</v>
      </c>
    </row>
    <row r="498" spans="1:25" hidden="1" x14ac:dyDescent="0.25">
      <c r="A498" s="283" t="s">
        <v>725</v>
      </c>
      <c r="B498" s="260">
        <v>45810</v>
      </c>
      <c r="C498" s="261" t="s">
        <v>868</v>
      </c>
      <c r="D498" s="261"/>
      <c r="E498" s="262">
        <v>410.69</v>
      </c>
      <c r="F498" s="262">
        <v>0</v>
      </c>
      <c r="G498" s="285">
        <f>Tabla3[[#This Row],[INGRESOS]]-Tabla3[[#This Row],[EGRESOS]]</f>
        <v>-410.69</v>
      </c>
      <c r="H498" s="135">
        <v>-7208645.3799999999</v>
      </c>
      <c r="I498" s="135">
        <v>1140</v>
      </c>
      <c r="J498" s="136">
        <f>Tabla3[[#This Row],[EGRESOS]]/Tabla3[[#This Row],[TC]]</f>
        <v>0.36025438596491227</v>
      </c>
      <c r="K498" s="136">
        <f>Tabla3[[#This Row],[INGRESOS]]/Tabla3[[#This Row],[TC]]</f>
        <v>0</v>
      </c>
      <c r="L498" s="8" t="s">
        <v>303</v>
      </c>
      <c r="M498" s="8" t="s">
        <v>304</v>
      </c>
      <c r="N498" s="8" t="s">
        <v>28</v>
      </c>
      <c r="O498" s="8" t="s">
        <v>184</v>
      </c>
      <c r="P498" s="8" t="s">
        <v>187</v>
      </c>
      <c r="Q498" s="8" t="s">
        <v>188</v>
      </c>
      <c r="R498" s="8" t="s">
        <v>317</v>
      </c>
      <c r="S498" s="8"/>
      <c r="T498" s="8"/>
      <c r="U498" s="8" t="s">
        <v>261</v>
      </c>
      <c r="V498" s="8"/>
      <c r="W498" s="8" t="s">
        <v>306</v>
      </c>
      <c r="X498" s="8" t="s">
        <v>98</v>
      </c>
      <c r="Y498" s="8" t="s">
        <v>23</v>
      </c>
    </row>
    <row r="499" spans="1:25" hidden="1" x14ac:dyDescent="0.25">
      <c r="A499" s="283" t="s">
        <v>725</v>
      </c>
      <c r="B499" s="260">
        <v>45810</v>
      </c>
      <c r="C499" s="261" t="s">
        <v>869</v>
      </c>
      <c r="D499" s="261"/>
      <c r="E499" s="262">
        <v>323999.42</v>
      </c>
      <c r="F499" s="262">
        <v>0</v>
      </c>
      <c r="G499" s="285">
        <f>Tabla3[[#This Row],[INGRESOS]]-Tabla3[[#This Row],[EGRESOS]]</f>
        <v>-323999.42</v>
      </c>
      <c r="H499" s="135">
        <v>-7532644.7999999998</v>
      </c>
      <c r="I499" s="135">
        <v>1140</v>
      </c>
      <c r="J499" s="136">
        <f>Tabla3[[#This Row],[EGRESOS]]/Tabla3[[#This Row],[TC]]</f>
        <v>284.21001754385964</v>
      </c>
      <c r="K499" s="136">
        <f>Tabla3[[#This Row],[INGRESOS]]/Tabla3[[#This Row],[TC]]</f>
        <v>0</v>
      </c>
      <c r="L499" s="8" t="s">
        <v>303</v>
      </c>
      <c r="M499" s="8" t="s">
        <v>304</v>
      </c>
      <c r="N499" s="8" t="s">
        <v>28</v>
      </c>
      <c r="O499" s="8" t="s">
        <v>184</v>
      </c>
      <c r="P499" s="8" t="s">
        <v>189</v>
      </c>
      <c r="Q499" s="8" t="s">
        <v>190</v>
      </c>
      <c r="R499" s="8"/>
      <c r="S499" s="8"/>
      <c r="T499" s="8"/>
      <c r="U499" s="8" t="s">
        <v>261</v>
      </c>
      <c r="V499" s="8"/>
      <c r="W499" s="8" t="s">
        <v>306</v>
      </c>
      <c r="X499" s="8" t="s">
        <v>98</v>
      </c>
      <c r="Y499" s="8" t="s">
        <v>23</v>
      </c>
    </row>
    <row r="500" spans="1:25" hidden="1" x14ac:dyDescent="0.25">
      <c r="A500" s="283" t="s">
        <v>725</v>
      </c>
      <c r="B500" s="260">
        <v>45810</v>
      </c>
      <c r="C500" s="261" t="s">
        <v>870</v>
      </c>
      <c r="D500" s="261"/>
      <c r="E500" s="262">
        <v>7328.15</v>
      </c>
      <c r="F500" s="262">
        <v>0</v>
      </c>
      <c r="G500" s="285">
        <f>Tabla3[[#This Row],[INGRESOS]]-Tabla3[[#This Row],[EGRESOS]]</f>
        <v>-7328.15</v>
      </c>
      <c r="H500" s="135">
        <v>-7539972.9500000002</v>
      </c>
      <c r="I500" s="135">
        <v>1140</v>
      </c>
      <c r="J500" s="136">
        <f>Tabla3[[#This Row],[EGRESOS]]/Tabla3[[#This Row],[TC]]</f>
        <v>6.4282017543859649</v>
      </c>
      <c r="K500" s="136">
        <f>Tabla3[[#This Row],[INGRESOS]]/Tabla3[[#This Row],[TC]]</f>
        <v>0</v>
      </c>
      <c r="L500" s="8" t="s">
        <v>303</v>
      </c>
      <c r="M500" s="8" t="s">
        <v>304</v>
      </c>
      <c r="N500" s="8" t="s">
        <v>28</v>
      </c>
      <c r="O500" s="8" t="s">
        <v>184</v>
      </c>
      <c r="P500" s="8" t="s">
        <v>187</v>
      </c>
      <c r="Q500" s="8" t="s">
        <v>188</v>
      </c>
      <c r="R500" s="8" t="s">
        <v>339</v>
      </c>
      <c r="S500" s="8"/>
      <c r="T500" s="8"/>
      <c r="U500" s="8" t="s">
        <v>261</v>
      </c>
      <c r="V500" s="8"/>
      <c r="W500" s="8" t="s">
        <v>306</v>
      </c>
      <c r="X500" s="8" t="s">
        <v>98</v>
      </c>
      <c r="Y500" s="8" t="s">
        <v>23</v>
      </c>
    </row>
    <row r="501" spans="1:25" hidden="1" x14ac:dyDescent="0.25">
      <c r="A501" s="283" t="s">
        <v>725</v>
      </c>
      <c r="B501" s="260">
        <v>45810</v>
      </c>
      <c r="C501" s="261" t="s">
        <v>865</v>
      </c>
      <c r="D501" s="261"/>
      <c r="E501" s="262">
        <v>34019.94</v>
      </c>
      <c r="F501" s="262">
        <v>0</v>
      </c>
      <c r="G501" s="285">
        <f>Tabla3[[#This Row],[INGRESOS]]-Tabla3[[#This Row],[EGRESOS]]</f>
        <v>-34019.94</v>
      </c>
      <c r="H501" s="135">
        <v>-7573992.8899999997</v>
      </c>
      <c r="I501" s="135">
        <v>1140</v>
      </c>
      <c r="J501" s="136">
        <f>Tabla3[[#This Row],[EGRESOS]]/Tabla3[[#This Row],[TC]]</f>
        <v>29.842052631578948</v>
      </c>
      <c r="K501" s="136">
        <f>Tabla3[[#This Row],[INGRESOS]]/Tabla3[[#This Row],[TC]]</f>
        <v>0</v>
      </c>
      <c r="L501" s="8" t="s">
        <v>303</v>
      </c>
      <c r="M501" s="8" t="s">
        <v>304</v>
      </c>
      <c r="N501" s="8" t="s">
        <v>28</v>
      </c>
      <c r="O501" s="8" t="s">
        <v>184</v>
      </c>
      <c r="P501" s="8" t="s">
        <v>187</v>
      </c>
      <c r="Q501" s="8" t="s">
        <v>188</v>
      </c>
      <c r="R501" s="8" t="s">
        <v>308</v>
      </c>
      <c r="S501" s="8"/>
      <c r="T501" s="8"/>
      <c r="U501" s="8" t="s">
        <v>261</v>
      </c>
      <c r="V501" s="8"/>
      <c r="W501" s="8" t="s">
        <v>306</v>
      </c>
      <c r="X501" s="8" t="s">
        <v>98</v>
      </c>
      <c r="Y501" s="8" t="s">
        <v>23</v>
      </c>
    </row>
    <row r="502" spans="1:25" hidden="1" x14ac:dyDescent="0.25">
      <c r="A502" s="283" t="s">
        <v>725</v>
      </c>
      <c r="B502" s="260">
        <v>45810</v>
      </c>
      <c r="C502" s="261" t="s">
        <v>866</v>
      </c>
      <c r="D502" s="261"/>
      <c r="E502" s="262">
        <v>4859.99</v>
      </c>
      <c r="F502" s="262">
        <v>0</v>
      </c>
      <c r="G502" s="285">
        <f>Tabla3[[#This Row],[INGRESOS]]-Tabla3[[#This Row],[EGRESOS]]</f>
        <v>-4859.99</v>
      </c>
      <c r="H502" s="135">
        <v>-7578852.8799999999</v>
      </c>
      <c r="I502" s="135">
        <v>1140</v>
      </c>
      <c r="J502" s="136">
        <f>Tabla3[[#This Row],[EGRESOS]]/Tabla3[[#This Row],[TC]]</f>
        <v>4.2631491228070173</v>
      </c>
      <c r="K502" s="136">
        <f>Tabla3[[#This Row],[INGRESOS]]/Tabla3[[#This Row],[TC]]</f>
        <v>0</v>
      </c>
      <c r="L502" s="8" t="s">
        <v>303</v>
      </c>
      <c r="M502" s="8" t="s">
        <v>304</v>
      </c>
      <c r="N502" s="8" t="s">
        <v>28</v>
      </c>
      <c r="O502" s="8" t="s">
        <v>184</v>
      </c>
      <c r="P502" s="8" t="s">
        <v>187</v>
      </c>
      <c r="Q502" s="8" t="s">
        <v>188</v>
      </c>
      <c r="R502" s="8" t="s">
        <v>475</v>
      </c>
      <c r="S502" s="8"/>
      <c r="T502" s="8"/>
      <c r="U502" s="8" t="s">
        <v>261</v>
      </c>
      <c r="V502" s="8"/>
      <c r="W502" s="8" t="s">
        <v>306</v>
      </c>
      <c r="X502" s="8" t="s">
        <v>98</v>
      </c>
      <c r="Y502" s="8" t="s">
        <v>23</v>
      </c>
    </row>
    <row r="503" spans="1:25" x14ac:dyDescent="0.25">
      <c r="A503" s="283" t="s">
        <v>725</v>
      </c>
      <c r="B503" s="260">
        <v>45811</v>
      </c>
      <c r="C503" s="261" t="s">
        <v>453</v>
      </c>
      <c r="D503" s="261" t="s">
        <v>822</v>
      </c>
      <c r="E503" s="262">
        <v>122290</v>
      </c>
      <c r="F503" s="262">
        <v>0</v>
      </c>
      <c r="G503" s="285">
        <f>Tabla3[[#This Row],[INGRESOS]]-Tabla3[[#This Row],[EGRESOS]]</f>
        <v>-122290</v>
      </c>
      <c r="H503" s="135">
        <v>-7581074.1299999999</v>
      </c>
      <c r="I503" s="135">
        <v>1140</v>
      </c>
      <c r="J503" s="136">
        <f>Tabla3[[#This Row],[EGRESOS]]/Tabla3[[#This Row],[TC]]</f>
        <v>107.2719298245614</v>
      </c>
      <c r="K503" s="136">
        <f>Tabla3[[#This Row],[INGRESOS]]/Tabla3[[#This Row],[TC]]</f>
        <v>0</v>
      </c>
      <c r="L503" s="8" t="s">
        <v>303</v>
      </c>
      <c r="M503" s="8" t="s">
        <v>304</v>
      </c>
      <c r="N503" s="8" t="s">
        <v>28</v>
      </c>
      <c r="O503" s="8" t="s">
        <v>742</v>
      </c>
      <c r="P503" s="8" t="s">
        <v>220</v>
      </c>
      <c r="Q503" s="8" t="s">
        <v>222</v>
      </c>
      <c r="R503" s="8"/>
      <c r="S503" s="8" t="s">
        <v>529</v>
      </c>
      <c r="T503" s="8" t="s">
        <v>823</v>
      </c>
      <c r="U503" s="8" t="s">
        <v>258</v>
      </c>
      <c r="V503" s="8"/>
      <c r="W503" s="8" t="s">
        <v>306</v>
      </c>
      <c r="X503" s="8" t="s">
        <v>29</v>
      </c>
      <c r="Y503" s="8" t="s">
        <v>23</v>
      </c>
    </row>
    <row r="504" spans="1:25" x14ac:dyDescent="0.25">
      <c r="A504" s="283" t="s">
        <v>725</v>
      </c>
      <c r="B504" s="260">
        <v>45811</v>
      </c>
      <c r="C504" s="261" t="s">
        <v>453</v>
      </c>
      <c r="D504" s="261" t="s">
        <v>821</v>
      </c>
      <c r="E504" s="262">
        <v>440000</v>
      </c>
      <c r="F504" s="262">
        <v>0</v>
      </c>
      <c r="G504" s="285">
        <f>Tabla3[[#This Row],[INGRESOS]]-Tabla3[[#This Row],[EGRESOS]]</f>
        <v>-440000</v>
      </c>
      <c r="H504" s="135">
        <v>-8021074.1299999999</v>
      </c>
      <c r="I504" s="135">
        <v>1140</v>
      </c>
      <c r="J504" s="136">
        <f>Tabla3[[#This Row],[EGRESOS]]/Tabla3[[#This Row],[TC]]</f>
        <v>385.96491228070175</v>
      </c>
      <c r="K504" s="136">
        <f>Tabla3[[#This Row],[INGRESOS]]/Tabla3[[#This Row],[TC]]</f>
        <v>0</v>
      </c>
      <c r="L504" s="8" t="s">
        <v>303</v>
      </c>
      <c r="M504" s="8" t="s">
        <v>304</v>
      </c>
      <c r="N504" s="8" t="s">
        <v>28</v>
      </c>
      <c r="O504" s="8" t="s">
        <v>742</v>
      </c>
      <c r="P504" s="8" t="s">
        <v>220</v>
      </c>
      <c r="Q504" s="8" t="s">
        <v>199</v>
      </c>
      <c r="R504" s="8" t="s">
        <v>226</v>
      </c>
      <c r="S504" s="8" t="s">
        <v>548</v>
      </c>
      <c r="T504" s="8" t="s">
        <v>824</v>
      </c>
      <c r="U504" s="8" t="s">
        <v>258</v>
      </c>
      <c r="V504" s="8"/>
      <c r="W504" s="8" t="s">
        <v>306</v>
      </c>
      <c r="X504" s="8" t="s">
        <v>29</v>
      </c>
      <c r="Y504" s="8" t="s">
        <v>23</v>
      </c>
    </row>
    <row r="505" spans="1:25" hidden="1" x14ac:dyDescent="0.25">
      <c r="A505" s="283" t="s">
        <v>725</v>
      </c>
      <c r="B505" s="260">
        <v>45811</v>
      </c>
      <c r="C505" s="261" t="s">
        <v>470</v>
      </c>
      <c r="D505" s="261"/>
      <c r="E505" s="262">
        <v>0</v>
      </c>
      <c r="F505" s="262">
        <v>850000</v>
      </c>
      <c r="G505" s="285">
        <f>Tabla3[[#This Row],[INGRESOS]]-Tabla3[[#This Row],[EGRESOS]]</f>
        <v>850000</v>
      </c>
      <c r="H505" s="135">
        <v>-7293364.1299999999</v>
      </c>
      <c r="I505" s="135">
        <v>1140</v>
      </c>
      <c r="J505" s="136">
        <f>Tabla3[[#This Row],[EGRESOS]]/Tabla3[[#This Row],[TC]]</f>
        <v>0</v>
      </c>
      <c r="K505" s="136">
        <f>Tabla3[[#This Row],[INGRESOS]]/Tabla3[[#This Row],[TC]]</f>
        <v>745.61403508771934</v>
      </c>
      <c r="L505" s="8" t="s">
        <v>303</v>
      </c>
      <c r="M505" s="8" t="s">
        <v>304</v>
      </c>
      <c r="N505" s="8" t="s">
        <v>28</v>
      </c>
      <c r="O505" s="8" t="s">
        <v>214</v>
      </c>
      <c r="P505" s="8" t="s">
        <v>216</v>
      </c>
      <c r="Q505" s="8" t="s">
        <v>217</v>
      </c>
      <c r="R505" s="8" t="s">
        <v>388</v>
      </c>
      <c r="S505" s="8"/>
      <c r="T505" s="8"/>
      <c r="U505" s="8" t="s">
        <v>262</v>
      </c>
      <c r="V505" s="8"/>
      <c r="W505" s="8"/>
      <c r="X505" s="8"/>
      <c r="Y505" s="8"/>
    </row>
    <row r="506" spans="1:25" hidden="1" x14ac:dyDescent="0.25">
      <c r="A506" s="283" t="s">
        <v>725</v>
      </c>
      <c r="B506" s="260">
        <v>45811</v>
      </c>
      <c r="C506" s="261" t="s">
        <v>438</v>
      </c>
      <c r="D506" s="261"/>
      <c r="E506" s="262">
        <v>3373.74</v>
      </c>
      <c r="F506" s="262">
        <v>0</v>
      </c>
      <c r="G506" s="285">
        <f>Tabla3[[#This Row],[INGRESOS]]-Tabla3[[#This Row],[EGRESOS]]</f>
        <v>-3373.74</v>
      </c>
      <c r="H506" s="135">
        <v>-7296737.8700000001</v>
      </c>
      <c r="I506" s="135">
        <v>1140</v>
      </c>
      <c r="J506" s="136">
        <f>Tabla3[[#This Row],[EGRESOS]]/Tabla3[[#This Row],[TC]]</f>
        <v>2.959421052631579</v>
      </c>
      <c r="K506" s="136">
        <f>Tabla3[[#This Row],[INGRESOS]]/Tabla3[[#This Row],[TC]]</f>
        <v>0</v>
      </c>
      <c r="L506" s="8" t="s">
        <v>303</v>
      </c>
      <c r="M506" s="8" t="s">
        <v>304</v>
      </c>
      <c r="N506" s="8" t="s">
        <v>28</v>
      </c>
      <c r="O506" s="8" t="s">
        <v>184</v>
      </c>
      <c r="P506" s="8" t="s">
        <v>187</v>
      </c>
      <c r="Q506" s="8" t="s">
        <v>188</v>
      </c>
      <c r="R506" s="8" t="s">
        <v>317</v>
      </c>
      <c r="S506" s="8"/>
      <c r="T506" s="8"/>
      <c r="U506" s="8" t="s">
        <v>261</v>
      </c>
      <c r="V506" s="8"/>
      <c r="W506" s="8" t="s">
        <v>306</v>
      </c>
      <c r="X506" s="8" t="s">
        <v>98</v>
      </c>
      <c r="Y506" s="8" t="s">
        <v>23</v>
      </c>
    </row>
    <row r="507" spans="1:25" hidden="1" x14ac:dyDescent="0.25">
      <c r="A507" s="283" t="s">
        <v>725</v>
      </c>
      <c r="B507" s="260">
        <v>45812</v>
      </c>
      <c r="C507" s="261" t="s">
        <v>470</v>
      </c>
      <c r="D507" s="261"/>
      <c r="E507" s="262">
        <v>0</v>
      </c>
      <c r="F507" s="262">
        <v>150000</v>
      </c>
      <c r="G507" s="285">
        <f>Tabla3[[#This Row],[INGRESOS]]-Tabla3[[#This Row],[EGRESOS]]</f>
        <v>150000</v>
      </c>
      <c r="H507" s="135">
        <v>-7146737.8700000001</v>
      </c>
      <c r="I507" s="135">
        <v>1140</v>
      </c>
      <c r="J507" s="136">
        <f>Tabla3[[#This Row],[EGRESOS]]/Tabla3[[#This Row],[TC]]</f>
        <v>0</v>
      </c>
      <c r="K507" s="136">
        <f>Tabla3[[#This Row],[INGRESOS]]/Tabla3[[#This Row],[TC]]</f>
        <v>131.57894736842104</v>
      </c>
      <c r="L507" s="8" t="s">
        <v>303</v>
      </c>
      <c r="M507" s="8" t="s">
        <v>304</v>
      </c>
      <c r="N507" s="8" t="s">
        <v>28</v>
      </c>
      <c r="O507" s="8" t="s">
        <v>214</v>
      </c>
      <c r="P507" s="8" t="s">
        <v>216</v>
      </c>
      <c r="Q507" s="8" t="s">
        <v>217</v>
      </c>
      <c r="R507" s="8" t="s">
        <v>388</v>
      </c>
      <c r="S507" s="8"/>
      <c r="T507" s="8"/>
      <c r="U507" s="8" t="s">
        <v>262</v>
      </c>
      <c r="V507" s="8"/>
      <c r="W507" s="8"/>
      <c r="X507" s="8"/>
      <c r="Y507" s="8"/>
    </row>
    <row r="508" spans="1:25" x14ac:dyDescent="0.25">
      <c r="A508" s="283" t="s">
        <v>725</v>
      </c>
      <c r="B508" s="260">
        <v>45813</v>
      </c>
      <c r="C508" s="261" t="s">
        <v>453</v>
      </c>
      <c r="D508" s="261" t="s">
        <v>825</v>
      </c>
      <c r="E508" s="262">
        <v>1215000</v>
      </c>
      <c r="F508" s="262">
        <v>0</v>
      </c>
      <c r="G508" s="285">
        <f>Tabla3[[#This Row],[INGRESOS]]-Tabla3[[#This Row],[EGRESOS]]</f>
        <v>-1215000</v>
      </c>
      <c r="H508" s="135">
        <v>-8361737.8700000001</v>
      </c>
      <c r="I508" s="135">
        <v>1140</v>
      </c>
      <c r="J508" s="136">
        <f>Tabla3[[#This Row],[EGRESOS]]/Tabla3[[#This Row],[TC]]</f>
        <v>1065.7894736842106</v>
      </c>
      <c r="K508" s="136">
        <f>Tabla3[[#This Row],[INGRESOS]]/Tabla3[[#This Row],[TC]]</f>
        <v>0</v>
      </c>
      <c r="L508" s="8" t="s">
        <v>303</v>
      </c>
      <c r="M508" s="8" t="s">
        <v>304</v>
      </c>
      <c r="N508" s="8" t="s">
        <v>28</v>
      </c>
      <c r="O508" s="8" t="s">
        <v>742</v>
      </c>
      <c r="P508" s="8" t="s">
        <v>220</v>
      </c>
      <c r="Q508" s="8" t="s">
        <v>231</v>
      </c>
      <c r="R508" s="8" t="s">
        <v>142</v>
      </c>
      <c r="S508" s="8" t="s">
        <v>588</v>
      </c>
      <c r="T508" s="8" t="s">
        <v>811</v>
      </c>
      <c r="U508" s="8" t="s">
        <v>258</v>
      </c>
      <c r="V508" s="8"/>
      <c r="W508" s="8" t="s">
        <v>306</v>
      </c>
      <c r="X508" s="8" t="s">
        <v>49</v>
      </c>
      <c r="Y508" s="8" t="s">
        <v>23</v>
      </c>
    </row>
    <row r="509" spans="1:25" hidden="1" x14ac:dyDescent="0.25">
      <c r="A509" s="283" t="s">
        <v>725</v>
      </c>
      <c r="B509" s="260">
        <v>45813</v>
      </c>
      <c r="C509" s="261" t="s">
        <v>464</v>
      </c>
      <c r="D509" s="261"/>
      <c r="E509" s="262">
        <v>0</v>
      </c>
      <c r="F509" s="262">
        <v>1300000</v>
      </c>
      <c r="G509" s="285">
        <f>Tabla3[[#This Row],[INGRESOS]]-Tabla3[[#This Row],[EGRESOS]]</f>
        <v>1300000</v>
      </c>
      <c r="H509" s="135">
        <v>-7061737.8700000001</v>
      </c>
      <c r="I509" s="135">
        <v>1140</v>
      </c>
      <c r="J509" s="136">
        <f>Tabla3[[#This Row],[EGRESOS]]/Tabla3[[#This Row],[TC]]</f>
        <v>0</v>
      </c>
      <c r="K509" s="136">
        <f>Tabla3[[#This Row],[INGRESOS]]/Tabla3[[#This Row],[TC]]</f>
        <v>1140.3508771929824</v>
      </c>
      <c r="L509" s="8" t="s">
        <v>303</v>
      </c>
      <c r="M509" s="8" t="s">
        <v>304</v>
      </c>
      <c r="N509" s="8" t="s">
        <v>28</v>
      </c>
      <c r="O509" s="8" t="s">
        <v>184</v>
      </c>
      <c r="P509" s="8" t="s">
        <v>237</v>
      </c>
      <c r="Q509" s="8" t="s">
        <v>236</v>
      </c>
      <c r="R509" s="8" t="s">
        <v>826</v>
      </c>
      <c r="S509" s="8" t="s">
        <v>418</v>
      </c>
      <c r="T509" s="8"/>
      <c r="U509" s="8" t="s">
        <v>273</v>
      </c>
      <c r="V509" s="8"/>
      <c r="W509" s="8" t="s">
        <v>306</v>
      </c>
      <c r="X509" s="8" t="s">
        <v>23</v>
      </c>
      <c r="Y509" s="8" t="s">
        <v>39</v>
      </c>
    </row>
    <row r="510" spans="1:25" hidden="1" x14ac:dyDescent="0.25">
      <c r="A510" s="283" t="s">
        <v>725</v>
      </c>
      <c r="B510" s="260">
        <v>45813</v>
      </c>
      <c r="C510" s="261" t="s">
        <v>438</v>
      </c>
      <c r="D510" s="261"/>
      <c r="E510" s="262">
        <v>7290</v>
      </c>
      <c r="F510" s="262">
        <v>0</v>
      </c>
      <c r="G510" s="285">
        <f>Tabla3[[#This Row],[INGRESOS]]-Tabla3[[#This Row],[EGRESOS]]</f>
        <v>-7290</v>
      </c>
      <c r="H510" s="135">
        <v>-7069027.8700000001</v>
      </c>
      <c r="I510" s="135">
        <v>1140</v>
      </c>
      <c r="J510" s="136">
        <f>Tabla3[[#This Row],[EGRESOS]]/Tabla3[[#This Row],[TC]]</f>
        <v>6.3947368421052628</v>
      </c>
      <c r="K510" s="136">
        <f>Tabla3[[#This Row],[INGRESOS]]/Tabla3[[#This Row],[TC]]</f>
        <v>0</v>
      </c>
      <c r="L510" s="8" t="s">
        <v>303</v>
      </c>
      <c r="M510" s="8" t="s">
        <v>304</v>
      </c>
      <c r="N510" s="8" t="s">
        <v>28</v>
      </c>
      <c r="O510" s="8" t="s">
        <v>184</v>
      </c>
      <c r="P510" s="8" t="s">
        <v>187</v>
      </c>
      <c r="Q510" s="8" t="s">
        <v>188</v>
      </c>
      <c r="R510" s="8" t="s">
        <v>317</v>
      </c>
      <c r="S510" s="8"/>
      <c r="T510" s="8"/>
      <c r="U510" s="8" t="s">
        <v>261</v>
      </c>
      <c r="V510" s="8"/>
      <c r="W510" s="8" t="s">
        <v>306</v>
      </c>
      <c r="X510" s="8" t="s">
        <v>98</v>
      </c>
      <c r="Y510" s="8" t="s">
        <v>23</v>
      </c>
    </row>
    <row r="511" spans="1:25" hidden="1" x14ac:dyDescent="0.25">
      <c r="A511" s="283" t="s">
        <v>725</v>
      </c>
      <c r="B511" s="260">
        <v>45813</v>
      </c>
      <c r="C511" s="261" t="s">
        <v>465</v>
      </c>
      <c r="D511" s="261"/>
      <c r="E511" s="262">
        <v>7800</v>
      </c>
      <c r="F511" s="262">
        <v>0</v>
      </c>
      <c r="G511" s="285">
        <f>Tabla3[[#This Row],[INGRESOS]]-Tabla3[[#This Row],[EGRESOS]]</f>
        <v>-7800</v>
      </c>
      <c r="H511" s="135">
        <v>-7076827.8700000001</v>
      </c>
      <c r="I511" s="135">
        <v>1140</v>
      </c>
      <c r="J511" s="136">
        <f>Tabla3[[#This Row],[EGRESOS]]/Tabla3[[#This Row],[TC]]</f>
        <v>6.8421052631578947</v>
      </c>
      <c r="K511" s="136">
        <f>Tabla3[[#This Row],[INGRESOS]]/Tabla3[[#This Row],[TC]]</f>
        <v>0</v>
      </c>
      <c r="L511" s="8" t="s">
        <v>303</v>
      </c>
      <c r="M511" s="8" t="s">
        <v>304</v>
      </c>
      <c r="N511" s="8" t="s">
        <v>28</v>
      </c>
      <c r="O511" s="8" t="s">
        <v>184</v>
      </c>
      <c r="P511" s="8" t="s">
        <v>187</v>
      </c>
      <c r="Q511" s="8" t="s">
        <v>188</v>
      </c>
      <c r="R511" s="8" t="s">
        <v>317</v>
      </c>
      <c r="S511" s="8"/>
      <c r="T511" s="8"/>
      <c r="U511" s="8" t="s">
        <v>261</v>
      </c>
      <c r="V511" s="8"/>
      <c r="W511" s="8" t="s">
        <v>306</v>
      </c>
      <c r="X511" s="8" t="s">
        <v>98</v>
      </c>
      <c r="Y511" s="8" t="s">
        <v>23</v>
      </c>
    </row>
    <row r="512" spans="1:25" hidden="1" x14ac:dyDescent="0.25">
      <c r="A512" s="283" t="s">
        <v>725</v>
      </c>
      <c r="B512" s="260">
        <v>45818</v>
      </c>
      <c r="C512" s="261" t="s">
        <v>453</v>
      </c>
      <c r="D512" s="261" t="s">
        <v>833</v>
      </c>
      <c r="E512" s="262">
        <v>168370</v>
      </c>
      <c r="F512" s="262">
        <v>0</v>
      </c>
      <c r="G512" s="285">
        <f>Tabla3[[#This Row],[INGRESOS]]-Tabla3[[#This Row],[EGRESOS]]</f>
        <v>-168370</v>
      </c>
      <c r="H512" s="135">
        <v>-7245197.8700000001</v>
      </c>
      <c r="I512" s="135">
        <v>1140</v>
      </c>
      <c r="J512" s="136">
        <f>Tabla3[[#This Row],[EGRESOS]]/Tabla3[[#This Row],[TC]]</f>
        <v>147.69298245614036</v>
      </c>
      <c r="K512" s="136">
        <f>Tabla3[[#This Row],[INGRESOS]]/Tabla3[[#This Row],[TC]]</f>
        <v>0</v>
      </c>
      <c r="L512" s="8" t="s">
        <v>303</v>
      </c>
      <c r="M512" s="8" t="s">
        <v>304</v>
      </c>
      <c r="N512" s="8" t="s">
        <v>28</v>
      </c>
      <c r="O512" s="8" t="s">
        <v>204</v>
      </c>
      <c r="P512" s="8" t="s">
        <v>210</v>
      </c>
      <c r="Q512" s="8" t="s">
        <v>212</v>
      </c>
      <c r="R512" s="8" t="s">
        <v>836</v>
      </c>
      <c r="S512" s="8" t="s">
        <v>835</v>
      </c>
      <c r="T512" s="8"/>
      <c r="U512" s="8" t="s">
        <v>260</v>
      </c>
      <c r="V512" s="8"/>
      <c r="W512" s="8" t="s">
        <v>306</v>
      </c>
      <c r="X512" s="8" t="s">
        <v>29</v>
      </c>
      <c r="Y512" s="8" t="s">
        <v>23</v>
      </c>
    </row>
    <row r="513" spans="1:25" hidden="1" x14ac:dyDescent="0.25">
      <c r="A513" s="283" t="s">
        <v>725</v>
      </c>
      <c r="B513" s="260">
        <v>45818</v>
      </c>
      <c r="C513" s="261" t="s">
        <v>453</v>
      </c>
      <c r="D513" s="261" t="s">
        <v>832</v>
      </c>
      <c r="E513" s="262">
        <v>1253833.94</v>
      </c>
      <c r="F513" s="262">
        <v>0</v>
      </c>
      <c r="G513" s="285">
        <f>Tabla3[[#This Row],[INGRESOS]]-Tabla3[[#This Row],[EGRESOS]]</f>
        <v>-1253833.94</v>
      </c>
      <c r="H513" s="135">
        <v>-8330661.8099999996</v>
      </c>
      <c r="I513" s="135">
        <v>1140</v>
      </c>
      <c r="J513" s="136">
        <f>Tabla3[[#This Row],[EGRESOS]]/Tabla3[[#This Row],[TC]]</f>
        <v>1099.8543333333332</v>
      </c>
      <c r="K513" s="136">
        <f>Tabla3[[#This Row],[INGRESOS]]/Tabla3[[#This Row],[TC]]</f>
        <v>0</v>
      </c>
      <c r="L513" s="8" t="s">
        <v>303</v>
      </c>
      <c r="M513" s="8" t="s">
        <v>304</v>
      </c>
      <c r="N513" s="8" t="s">
        <v>28</v>
      </c>
      <c r="O513" s="8" t="s">
        <v>197</v>
      </c>
      <c r="P513" s="8" t="s">
        <v>238</v>
      </c>
      <c r="Q513" s="8" t="s">
        <v>239</v>
      </c>
      <c r="R513" s="8" t="s">
        <v>501</v>
      </c>
      <c r="S513" s="8" t="s">
        <v>502</v>
      </c>
      <c r="T513" s="8" t="s">
        <v>834</v>
      </c>
      <c r="U513" s="8" t="s">
        <v>258</v>
      </c>
      <c r="V513" s="8"/>
      <c r="W513" s="8" t="s">
        <v>306</v>
      </c>
      <c r="X513" s="8" t="s">
        <v>41</v>
      </c>
      <c r="Y513" s="8" t="s">
        <v>23</v>
      </c>
    </row>
    <row r="514" spans="1:25" hidden="1" x14ac:dyDescent="0.25">
      <c r="A514" s="283" t="s">
        <v>725</v>
      </c>
      <c r="B514" s="260">
        <v>45818</v>
      </c>
      <c r="C514" s="261" t="s">
        <v>470</v>
      </c>
      <c r="D514" s="261"/>
      <c r="E514" s="262">
        <v>0</v>
      </c>
      <c r="F514" s="262">
        <v>1500000</v>
      </c>
      <c r="G514" s="285">
        <f>Tabla3[[#This Row],[INGRESOS]]-Tabla3[[#This Row],[EGRESOS]]</f>
        <v>1500000</v>
      </c>
      <c r="H514" s="135">
        <v>-6999031.8099999996</v>
      </c>
      <c r="I514" s="135">
        <v>1140</v>
      </c>
      <c r="J514" s="136">
        <f>Tabla3[[#This Row],[EGRESOS]]/Tabla3[[#This Row],[TC]]</f>
        <v>0</v>
      </c>
      <c r="K514" s="136">
        <f>Tabla3[[#This Row],[INGRESOS]]/Tabla3[[#This Row],[TC]]</f>
        <v>1315.7894736842106</v>
      </c>
      <c r="L514" s="8" t="s">
        <v>303</v>
      </c>
      <c r="M514" s="8" t="s">
        <v>304</v>
      </c>
      <c r="N514" s="8" t="s">
        <v>28</v>
      </c>
      <c r="O514" s="8" t="s">
        <v>214</v>
      </c>
      <c r="P514" s="8" t="s">
        <v>216</v>
      </c>
      <c r="Q514" s="8" t="s">
        <v>217</v>
      </c>
      <c r="R514" s="8" t="s">
        <v>388</v>
      </c>
      <c r="S514" s="8"/>
      <c r="T514" s="8"/>
      <c r="U514" s="8" t="s">
        <v>262</v>
      </c>
      <c r="V514" s="8"/>
      <c r="W514" s="8" t="s">
        <v>306</v>
      </c>
      <c r="X514" s="8"/>
      <c r="Y514" s="8"/>
    </row>
    <row r="515" spans="1:25" hidden="1" x14ac:dyDescent="0.25">
      <c r="A515" s="283" t="s">
        <v>725</v>
      </c>
      <c r="B515" s="260">
        <v>45818</v>
      </c>
      <c r="C515" s="261" t="s">
        <v>438</v>
      </c>
      <c r="D515" s="261"/>
      <c r="E515" s="262">
        <v>8533.2199999999993</v>
      </c>
      <c r="F515" s="262">
        <v>0</v>
      </c>
      <c r="G515" s="285">
        <f>Tabla3[[#This Row],[INGRESOS]]-Tabla3[[#This Row],[EGRESOS]]</f>
        <v>-8533.2199999999993</v>
      </c>
      <c r="H515" s="135">
        <v>-7007565.0300000003</v>
      </c>
      <c r="I515" s="135">
        <v>1140</v>
      </c>
      <c r="J515" s="136">
        <f>Tabla3[[#This Row],[EGRESOS]]/Tabla3[[#This Row],[TC]]</f>
        <v>7.4852807017543856</v>
      </c>
      <c r="K515" s="136">
        <f>Tabla3[[#This Row],[INGRESOS]]/Tabla3[[#This Row],[TC]]</f>
        <v>0</v>
      </c>
      <c r="L515" s="8" t="s">
        <v>303</v>
      </c>
      <c r="M515" s="8" t="s">
        <v>304</v>
      </c>
      <c r="N515" s="8" t="s">
        <v>28</v>
      </c>
      <c r="O515" s="8" t="s">
        <v>184</v>
      </c>
      <c r="P515" s="8" t="s">
        <v>187</v>
      </c>
      <c r="Q515" s="8" t="s">
        <v>188</v>
      </c>
      <c r="R515" s="8" t="s">
        <v>317</v>
      </c>
      <c r="S515" s="8"/>
      <c r="T515" s="8"/>
      <c r="U515" s="8" t="s">
        <v>261</v>
      </c>
      <c r="V515" s="8"/>
      <c r="W515" s="8" t="s">
        <v>306</v>
      </c>
      <c r="X515" s="8" t="s">
        <v>98</v>
      </c>
      <c r="Y515" s="8" t="s">
        <v>23</v>
      </c>
    </row>
    <row r="516" spans="1:25" hidden="1" x14ac:dyDescent="0.25">
      <c r="A516" s="283" t="s">
        <v>725</v>
      </c>
      <c r="B516" s="260">
        <v>45820</v>
      </c>
      <c r="C516" s="261" t="s">
        <v>470</v>
      </c>
      <c r="D516" s="261"/>
      <c r="E516" s="262">
        <v>0</v>
      </c>
      <c r="F516" s="262">
        <v>7020000</v>
      </c>
      <c r="G516" s="285">
        <f>Tabla3[[#This Row],[INGRESOS]]-Tabla3[[#This Row],[EGRESOS]]</f>
        <v>7020000</v>
      </c>
      <c r="H516" s="135">
        <v>12434.97</v>
      </c>
      <c r="I516" s="135">
        <v>1140</v>
      </c>
      <c r="J516" s="136">
        <f>Tabla3[[#This Row],[EGRESOS]]/Tabla3[[#This Row],[TC]]</f>
        <v>0</v>
      </c>
      <c r="K516" s="136">
        <f>Tabla3[[#This Row],[INGRESOS]]/Tabla3[[#This Row],[TC]]</f>
        <v>6157.894736842105</v>
      </c>
      <c r="L516" s="8" t="s">
        <v>303</v>
      </c>
      <c r="M516" s="8" t="s">
        <v>304</v>
      </c>
      <c r="N516" s="8" t="s">
        <v>28</v>
      </c>
      <c r="O516" s="8" t="s">
        <v>214</v>
      </c>
      <c r="P516" s="8" t="s">
        <v>216</v>
      </c>
      <c r="Q516" s="8" t="s">
        <v>217</v>
      </c>
      <c r="R516" s="8" t="s">
        <v>388</v>
      </c>
      <c r="S516" s="8"/>
      <c r="T516" s="8"/>
      <c r="U516" s="8" t="s">
        <v>262</v>
      </c>
      <c r="V516" s="8"/>
      <c r="W516" s="8" t="s">
        <v>306</v>
      </c>
      <c r="X516" s="8"/>
      <c r="Y516" s="8"/>
    </row>
    <row r="517" spans="1:25" x14ac:dyDescent="0.25">
      <c r="A517" s="283" t="s">
        <v>725</v>
      </c>
      <c r="B517" s="260">
        <v>45821</v>
      </c>
      <c r="C517" s="261" t="s">
        <v>453</v>
      </c>
      <c r="D517" s="261" t="s">
        <v>863</v>
      </c>
      <c r="E517" s="262">
        <v>1800000</v>
      </c>
      <c r="F517" s="262">
        <v>0</v>
      </c>
      <c r="G517" s="285">
        <f>Tabla3[[#This Row],[INGRESOS]]-Tabla3[[#This Row],[EGRESOS]]</f>
        <v>-1800000</v>
      </c>
      <c r="H517" s="135">
        <v>-1787565.03</v>
      </c>
      <c r="I517" s="135">
        <v>1140</v>
      </c>
      <c r="J517" s="136">
        <f>Tabla3[[#This Row],[EGRESOS]]/Tabla3[[#This Row],[TC]]</f>
        <v>1578.9473684210527</v>
      </c>
      <c r="K517" s="136">
        <f>Tabla3[[#This Row],[INGRESOS]]/Tabla3[[#This Row],[TC]]</f>
        <v>0</v>
      </c>
      <c r="L517" s="8" t="s">
        <v>303</v>
      </c>
      <c r="M517" s="8" t="s">
        <v>304</v>
      </c>
      <c r="N517" s="8" t="s">
        <v>28</v>
      </c>
      <c r="O517" s="8" t="s">
        <v>742</v>
      </c>
      <c r="P517" s="8" t="s">
        <v>220</v>
      </c>
      <c r="Q517" s="8" t="s">
        <v>231</v>
      </c>
      <c r="R517" s="8" t="s">
        <v>142</v>
      </c>
      <c r="S517" s="8" t="s">
        <v>625</v>
      </c>
      <c r="T517" s="8" t="s">
        <v>864</v>
      </c>
      <c r="U517" s="8" t="s">
        <v>258</v>
      </c>
      <c r="V517" s="8"/>
      <c r="W517" s="8" t="s">
        <v>306</v>
      </c>
      <c r="X517" s="8" t="s">
        <v>29</v>
      </c>
      <c r="Y517" s="8" t="s">
        <v>23</v>
      </c>
    </row>
    <row r="518" spans="1:25" s="7" customFormat="1" hidden="1" x14ac:dyDescent="0.25">
      <c r="A518" s="283" t="s">
        <v>725</v>
      </c>
      <c r="B518" s="260">
        <v>45821</v>
      </c>
      <c r="C518" s="261" t="s">
        <v>470</v>
      </c>
      <c r="D518" s="261"/>
      <c r="E518" s="262">
        <v>0</v>
      </c>
      <c r="F518" s="262">
        <v>2000000</v>
      </c>
      <c r="G518" s="285">
        <f>Tabla3[[#This Row],[INGRESOS]]-Tabla3[[#This Row],[EGRESOS]]</f>
        <v>2000000</v>
      </c>
      <c r="H518" s="135">
        <v>212434.97</v>
      </c>
      <c r="I518" s="135">
        <v>1140</v>
      </c>
      <c r="J518" s="136">
        <f>Tabla3[[#This Row],[EGRESOS]]/Tabla3[[#This Row],[TC]]</f>
        <v>0</v>
      </c>
      <c r="K518" s="136">
        <f>Tabla3[[#This Row],[INGRESOS]]/Tabla3[[#This Row],[TC]]</f>
        <v>1754.3859649122808</v>
      </c>
      <c r="L518" s="8" t="s">
        <v>303</v>
      </c>
      <c r="M518" s="8" t="s">
        <v>304</v>
      </c>
      <c r="N518" s="8" t="s">
        <v>28</v>
      </c>
      <c r="O518" s="8" t="s">
        <v>214</v>
      </c>
      <c r="P518" s="8" t="s">
        <v>216</v>
      </c>
      <c r="Q518" s="8" t="s">
        <v>217</v>
      </c>
      <c r="R518" s="8" t="s">
        <v>388</v>
      </c>
      <c r="S518" s="8"/>
      <c r="T518" s="8"/>
      <c r="U518" s="8" t="s">
        <v>262</v>
      </c>
      <c r="V518" s="8"/>
      <c r="W518" s="8" t="s">
        <v>306</v>
      </c>
      <c r="X518" s="8"/>
      <c r="Y518" s="8"/>
    </row>
    <row r="519" spans="1:25" s="7" customFormat="1" hidden="1" x14ac:dyDescent="0.25">
      <c r="A519" s="283" t="s">
        <v>725</v>
      </c>
      <c r="B519" s="260">
        <v>45821</v>
      </c>
      <c r="C519" s="261" t="s">
        <v>438</v>
      </c>
      <c r="D519" s="261"/>
      <c r="E519" s="262">
        <v>10800</v>
      </c>
      <c r="F519" s="262">
        <v>0</v>
      </c>
      <c r="G519" s="285">
        <f>Tabla3[[#This Row],[INGRESOS]]-Tabla3[[#This Row],[EGRESOS]]</f>
        <v>-10800</v>
      </c>
      <c r="H519" s="135">
        <v>201634.97</v>
      </c>
      <c r="I519" s="135">
        <v>1140</v>
      </c>
      <c r="J519" s="136">
        <f>Tabla3[[#This Row],[EGRESOS]]/Tabla3[[#This Row],[TC]]</f>
        <v>9.473684210526315</v>
      </c>
      <c r="K519" s="136">
        <f>Tabla3[[#This Row],[INGRESOS]]/Tabla3[[#This Row],[TC]]</f>
        <v>0</v>
      </c>
      <c r="L519" s="8" t="s">
        <v>303</v>
      </c>
      <c r="M519" s="8" t="s">
        <v>304</v>
      </c>
      <c r="N519" s="8" t="s">
        <v>28</v>
      </c>
      <c r="O519" s="8" t="s">
        <v>184</v>
      </c>
      <c r="P519" s="8" t="s">
        <v>187</v>
      </c>
      <c r="Q519" s="8" t="s">
        <v>188</v>
      </c>
      <c r="R519" s="8" t="s">
        <v>317</v>
      </c>
      <c r="S519" s="8"/>
      <c r="T519" s="8"/>
      <c r="U519" s="8" t="s">
        <v>261</v>
      </c>
      <c r="V519" s="8"/>
      <c r="W519" s="8" t="s">
        <v>306</v>
      </c>
      <c r="X519" s="8" t="s">
        <v>98</v>
      </c>
      <c r="Y519" s="8" t="s">
        <v>23</v>
      </c>
    </row>
    <row r="520" spans="1:25" s="7" customFormat="1" hidden="1" x14ac:dyDescent="0.25">
      <c r="A520" s="283" t="s">
        <v>725</v>
      </c>
      <c r="B520" s="260">
        <v>45826</v>
      </c>
      <c r="C520" s="261" t="s">
        <v>499</v>
      </c>
      <c r="D520" s="261" t="s">
        <v>880</v>
      </c>
      <c r="E520" s="262">
        <v>166000</v>
      </c>
      <c r="F520" s="262">
        <v>0</v>
      </c>
      <c r="G520" s="285">
        <f>Tabla3[[#This Row],[INGRESOS]]-Tabla3[[#This Row],[EGRESOS]]</f>
        <v>-166000</v>
      </c>
      <c r="H520" s="135">
        <v>35634.97</v>
      </c>
      <c r="I520" s="135">
        <v>1140</v>
      </c>
      <c r="J520" s="136">
        <f>Tabla3[[#This Row],[EGRESOS]]/Tabla3[[#This Row],[TC]]</f>
        <v>145.61403508771929</v>
      </c>
      <c r="K520" s="136">
        <f>Tabla3[[#This Row],[INGRESOS]]/Tabla3[[#This Row],[TC]]</f>
        <v>0</v>
      </c>
      <c r="L520" s="8" t="s">
        <v>303</v>
      </c>
      <c r="M520" s="8" t="s">
        <v>304</v>
      </c>
      <c r="N520" s="8" t="s">
        <v>28</v>
      </c>
      <c r="O520" s="8" t="s">
        <v>204</v>
      </c>
      <c r="P520" s="8" t="s">
        <v>208</v>
      </c>
      <c r="Q520" s="8" t="s">
        <v>209</v>
      </c>
      <c r="R520" s="8"/>
      <c r="S520" s="8" t="s">
        <v>881</v>
      </c>
      <c r="T520" s="8" t="s">
        <v>882</v>
      </c>
      <c r="U520" s="8" t="s">
        <v>258</v>
      </c>
      <c r="V520" s="8"/>
      <c r="W520" s="8" t="s">
        <v>306</v>
      </c>
      <c r="X520" s="8" t="s">
        <v>29</v>
      </c>
      <c r="Y520" s="8" t="s">
        <v>23</v>
      </c>
    </row>
    <row r="521" spans="1:25" s="7" customFormat="1" x14ac:dyDescent="0.25">
      <c r="A521" s="283" t="s">
        <v>725</v>
      </c>
      <c r="B521" s="260">
        <v>45825</v>
      </c>
      <c r="C521" s="261" t="s">
        <v>879</v>
      </c>
      <c r="D521" s="261" t="s">
        <v>878</v>
      </c>
      <c r="E521" s="262">
        <v>1947415.84</v>
      </c>
      <c r="F521" s="262">
        <v>0</v>
      </c>
      <c r="G521" s="285">
        <f>Tabla3[[#This Row],[INGRESOS]]-Tabla3[[#This Row],[EGRESOS]]</f>
        <v>-1947415.84</v>
      </c>
      <c r="H521" s="135">
        <v>-1911780.87</v>
      </c>
      <c r="I521" s="135">
        <v>1140</v>
      </c>
      <c r="J521" s="136">
        <f>Tabla3[[#This Row],[EGRESOS]]/Tabla3[[#This Row],[TC]]</f>
        <v>1708.2595087719299</v>
      </c>
      <c r="K521" s="136">
        <f>Tabla3[[#This Row],[INGRESOS]]/Tabla3[[#This Row],[TC]]</f>
        <v>0</v>
      </c>
      <c r="L521" s="8" t="s">
        <v>303</v>
      </c>
      <c r="M521" s="8" t="s">
        <v>304</v>
      </c>
      <c r="N521" s="8" t="s">
        <v>28</v>
      </c>
      <c r="O521" s="8" t="s">
        <v>742</v>
      </c>
      <c r="P521" s="8" t="s">
        <v>220</v>
      </c>
      <c r="Q521" s="8" t="s">
        <v>231</v>
      </c>
      <c r="R521" s="408" t="s">
        <v>142</v>
      </c>
      <c r="S521" s="8" t="s">
        <v>625</v>
      </c>
      <c r="T521" s="8" t="s">
        <v>864</v>
      </c>
      <c r="U521" s="8" t="s">
        <v>258</v>
      </c>
      <c r="V521" s="8"/>
      <c r="W521" s="8" t="s">
        <v>306</v>
      </c>
      <c r="X521" s="8" t="s">
        <v>29</v>
      </c>
      <c r="Y521" s="8" t="s">
        <v>23</v>
      </c>
    </row>
    <row r="522" spans="1:25" s="7" customFormat="1" hidden="1" x14ac:dyDescent="0.25">
      <c r="A522" s="283" t="s">
        <v>725</v>
      </c>
      <c r="B522" s="260">
        <v>45826</v>
      </c>
      <c r="C522" s="261" t="s">
        <v>446</v>
      </c>
      <c r="D522" s="261"/>
      <c r="E522" s="262">
        <v>1000000</v>
      </c>
      <c r="F522" s="262">
        <v>0</v>
      </c>
      <c r="G522" s="285">
        <f>Tabla3[[#This Row],[INGRESOS]]-Tabla3[[#This Row],[EGRESOS]]</f>
        <v>-1000000</v>
      </c>
      <c r="H522" s="135">
        <v>-2923465.37</v>
      </c>
      <c r="I522" s="135">
        <v>1140</v>
      </c>
      <c r="J522" s="136">
        <f>Tabla3[[#This Row],[EGRESOS]]/Tabla3[[#This Row],[TC]]</f>
        <v>877.19298245614038</v>
      </c>
      <c r="K522" s="136">
        <f>Tabla3[[#This Row],[INGRESOS]]/Tabla3[[#This Row],[TC]]</f>
        <v>0</v>
      </c>
      <c r="L522" s="8" t="s">
        <v>303</v>
      </c>
      <c r="M522" s="8" t="s">
        <v>304</v>
      </c>
      <c r="N522" s="8" t="s">
        <v>28</v>
      </c>
      <c r="O522" s="8" t="s">
        <v>214</v>
      </c>
      <c r="P522" s="8" t="s">
        <v>216</v>
      </c>
      <c r="Q522" s="8" t="s">
        <v>217</v>
      </c>
      <c r="R522" s="8" t="s">
        <v>305</v>
      </c>
      <c r="S522" s="8"/>
      <c r="T522" s="8"/>
      <c r="U522" s="8" t="s">
        <v>262</v>
      </c>
      <c r="V522" s="8"/>
      <c r="W522" s="8" t="s">
        <v>306</v>
      </c>
      <c r="X522" s="8"/>
      <c r="Y522" s="8"/>
    </row>
    <row r="523" spans="1:25" s="7" customFormat="1" hidden="1" x14ac:dyDescent="0.25">
      <c r="A523" s="283" t="s">
        <v>725</v>
      </c>
      <c r="B523" s="260">
        <v>45826</v>
      </c>
      <c r="C523" s="261" t="s">
        <v>440</v>
      </c>
      <c r="D523" s="261"/>
      <c r="E523" s="262">
        <v>200000</v>
      </c>
      <c r="F523" s="262">
        <v>0</v>
      </c>
      <c r="G523" s="285">
        <f>Tabla3[[#This Row],[INGRESOS]]-Tabla3[[#This Row],[EGRESOS]]</f>
        <v>-200000</v>
      </c>
      <c r="H523" s="135">
        <v>-3481835.37</v>
      </c>
      <c r="I523" s="135">
        <v>1140</v>
      </c>
      <c r="J523" s="136">
        <f>Tabla3[[#This Row],[EGRESOS]]/Tabla3[[#This Row],[TC]]</f>
        <v>175.43859649122808</v>
      </c>
      <c r="K523" s="136">
        <f>Tabla3[[#This Row],[INGRESOS]]/Tabla3[[#This Row],[TC]]</f>
        <v>0</v>
      </c>
      <c r="L523" s="8" t="s">
        <v>303</v>
      </c>
      <c r="M523" s="8" t="s">
        <v>304</v>
      </c>
      <c r="N523" s="8" t="s">
        <v>28</v>
      </c>
      <c r="O523" s="8" t="s">
        <v>184</v>
      </c>
      <c r="P523" s="8" t="s">
        <v>191</v>
      </c>
      <c r="Q523" s="8" t="s">
        <v>192</v>
      </c>
      <c r="R523" s="8"/>
      <c r="S523" s="8" t="s">
        <v>431</v>
      </c>
      <c r="T523" s="8"/>
      <c r="U523" s="8" t="s">
        <v>266</v>
      </c>
      <c r="V523" s="8"/>
      <c r="W523" s="8" t="s">
        <v>306</v>
      </c>
      <c r="X523" s="8" t="s">
        <v>98</v>
      </c>
      <c r="Y523" s="8" t="s">
        <v>23</v>
      </c>
    </row>
    <row r="524" spans="1:25" s="7" customFormat="1" hidden="1" x14ac:dyDescent="0.25">
      <c r="A524" s="283" t="s">
        <v>725</v>
      </c>
      <c r="B524" s="260">
        <v>45826</v>
      </c>
      <c r="C524" s="261" t="s">
        <v>440</v>
      </c>
      <c r="D524" s="261"/>
      <c r="E524" s="262">
        <v>8370</v>
      </c>
      <c r="F524" s="262">
        <v>0</v>
      </c>
      <c r="G524" s="285">
        <f>Tabla3[[#This Row],[INGRESOS]]-Tabla3[[#This Row],[EGRESOS]]</f>
        <v>-8370</v>
      </c>
      <c r="H524" s="135">
        <v>-3690205.37</v>
      </c>
      <c r="I524" s="135">
        <v>1140</v>
      </c>
      <c r="J524" s="136">
        <f>Tabla3[[#This Row],[EGRESOS]]/Tabla3[[#This Row],[TC]]</f>
        <v>7.3421052631578947</v>
      </c>
      <c r="K524" s="136">
        <f>Tabla3[[#This Row],[INGRESOS]]/Tabla3[[#This Row],[TC]]</f>
        <v>0</v>
      </c>
      <c r="L524" s="8" t="s">
        <v>303</v>
      </c>
      <c r="M524" s="8" t="s">
        <v>304</v>
      </c>
      <c r="N524" s="8" t="s">
        <v>28</v>
      </c>
      <c r="O524" s="8" t="s">
        <v>184</v>
      </c>
      <c r="P524" s="8" t="s">
        <v>191</v>
      </c>
      <c r="Q524" s="8" t="s">
        <v>193</v>
      </c>
      <c r="R524" s="8" t="s">
        <v>884</v>
      </c>
      <c r="S524" s="8" t="s">
        <v>315</v>
      </c>
      <c r="T524" s="8"/>
      <c r="U524" s="8" t="s">
        <v>266</v>
      </c>
      <c r="V524" s="8"/>
      <c r="W524" s="8" t="s">
        <v>306</v>
      </c>
      <c r="X524" s="8" t="s">
        <v>98</v>
      </c>
      <c r="Y524" s="8" t="s">
        <v>23</v>
      </c>
    </row>
    <row r="525" spans="1:25" s="7" customFormat="1" hidden="1" x14ac:dyDescent="0.25">
      <c r="A525" s="283" t="s">
        <v>725</v>
      </c>
      <c r="B525" s="260">
        <v>45826</v>
      </c>
      <c r="C525" s="261" t="s">
        <v>438</v>
      </c>
      <c r="D525" s="261"/>
      <c r="E525" s="262">
        <v>4346.22</v>
      </c>
      <c r="F525" s="262">
        <v>0</v>
      </c>
      <c r="G525" s="285">
        <f>Tabla3[[#This Row],[INGRESOS]]-Tabla3[[#This Row],[EGRESOS]]</f>
        <v>-4346.22</v>
      </c>
      <c r="H525" s="135">
        <v>-3486181.59</v>
      </c>
      <c r="I525" s="135">
        <v>1140</v>
      </c>
      <c r="J525" s="136">
        <f>Tabla3[[#This Row],[EGRESOS]]/Tabla3[[#This Row],[TC]]</f>
        <v>3.8124736842105267</v>
      </c>
      <c r="K525" s="136">
        <f>Tabla3[[#This Row],[INGRESOS]]/Tabla3[[#This Row],[TC]]</f>
        <v>0</v>
      </c>
      <c r="L525" s="8" t="s">
        <v>303</v>
      </c>
      <c r="M525" s="8" t="s">
        <v>304</v>
      </c>
      <c r="N525" s="8" t="s">
        <v>28</v>
      </c>
      <c r="O525" s="8" t="s">
        <v>184</v>
      </c>
      <c r="P525" s="8" t="s">
        <v>187</v>
      </c>
      <c r="Q525" s="8" t="s">
        <v>188</v>
      </c>
      <c r="R525" s="8" t="s">
        <v>317</v>
      </c>
      <c r="S525" s="8"/>
      <c r="T525" s="8"/>
      <c r="U525" s="8" t="s">
        <v>261</v>
      </c>
      <c r="V525" s="8"/>
      <c r="W525" s="8" t="s">
        <v>306</v>
      </c>
      <c r="X525" s="8" t="s">
        <v>98</v>
      </c>
      <c r="Y525" s="8" t="s">
        <v>23</v>
      </c>
    </row>
    <row r="526" spans="1:25" s="7" customFormat="1" hidden="1" x14ac:dyDescent="0.25">
      <c r="A526" s="283" t="s">
        <v>725</v>
      </c>
      <c r="B526" s="260">
        <v>45826</v>
      </c>
      <c r="C526" s="261" t="s">
        <v>440</v>
      </c>
      <c r="D526" s="261"/>
      <c r="E526" s="262">
        <v>350000</v>
      </c>
      <c r="F526" s="262">
        <v>0</v>
      </c>
      <c r="G526" s="285">
        <f>Tabla3[[#This Row],[INGRESOS]]-Tabla3[[#This Row],[EGRESOS]]</f>
        <v>-350000</v>
      </c>
      <c r="H526" s="135">
        <v>-3273465.37</v>
      </c>
      <c r="I526" s="135">
        <v>1140</v>
      </c>
      <c r="J526" s="136">
        <f>Tabla3[[#This Row],[EGRESOS]]/Tabla3[[#This Row],[TC]]</f>
        <v>307.01754385964909</v>
      </c>
      <c r="K526" s="136">
        <f>Tabla3[[#This Row],[INGRESOS]]/Tabla3[[#This Row],[TC]]</f>
        <v>0</v>
      </c>
      <c r="L526" s="8" t="s">
        <v>303</v>
      </c>
      <c r="M526" s="8" t="s">
        <v>304</v>
      </c>
      <c r="N526" s="8" t="s">
        <v>28</v>
      </c>
      <c r="O526" s="8" t="s">
        <v>184</v>
      </c>
      <c r="P526" s="8" t="s">
        <v>194</v>
      </c>
      <c r="Q526" s="8" t="s">
        <v>196</v>
      </c>
      <c r="R526" s="8" t="s">
        <v>887</v>
      </c>
      <c r="S526" s="8" t="s">
        <v>331</v>
      </c>
      <c r="T526" s="8"/>
      <c r="U526" s="8" t="s">
        <v>267</v>
      </c>
      <c r="V526" s="8" t="s">
        <v>332</v>
      </c>
      <c r="W526" s="8" t="s">
        <v>306</v>
      </c>
      <c r="X526" s="8" t="s">
        <v>101</v>
      </c>
      <c r="Y526" s="8" t="s">
        <v>23</v>
      </c>
    </row>
    <row r="527" spans="1:25" hidden="1" x14ac:dyDescent="0.25">
      <c r="A527" s="283" t="s">
        <v>725</v>
      </c>
      <c r="B527" s="260">
        <v>45827</v>
      </c>
      <c r="C527" s="261" t="s">
        <v>440</v>
      </c>
      <c r="D527" s="261"/>
      <c r="E527" s="262">
        <v>34706.230000000003</v>
      </c>
      <c r="F527" s="262">
        <v>0</v>
      </c>
      <c r="G527" s="285">
        <f>Tabla3[[#This Row],[INGRESOS]]-Tabla3[[#This Row],[EGRESOS]]</f>
        <v>-34706.230000000003</v>
      </c>
      <c r="H527" s="135">
        <v>-3520887.82</v>
      </c>
      <c r="I527" s="135">
        <v>1140</v>
      </c>
      <c r="J527" s="136">
        <f>Tabla3[[#This Row],[EGRESOS]]/Tabla3[[#This Row],[TC]]</f>
        <v>30.444061403508776</v>
      </c>
      <c r="K527" s="136">
        <f>Tabla3[[#This Row],[INGRESOS]]/Tabla3[[#This Row],[TC]]</f>
        <v>0</v>
      </c>
      <c r="L527" s="8" t="s">
        <v>303</v>
      </c>
      <c r="M527" s="8" t="s">
        <v>304</v>
      </c>
      <c r="N527" s="8" t="s">
        <v>28</v>
      </c>
      <c r="O527" s="8" t="s">
        <v>197</v>
      </c>
      <c r="P527" s="8" t="s">
        <v>198</v>
      </c>
      <c r="Q527" s="8" t="s">
        <v>201</v>
      </c>
      <c r="R527" s="8" t="s">
        <v>894</v>
      </c>
      <c r="S527" s="8" t="s">
        <v>877</v>
      </c>
      <c r="T527" s="8"/>
      <c r="U527" s="8" t="s">
        <v>258</v>
      </c>
      <c r="V527" s="8"/>
      <c r="W527" s="8" t="s">
        <v>306</v>
      </c>
      <c r="X527" s="8" t="s">
        <v>98</v>
      </c>
      <c r="Y527" s="8" t="s">
        <v>23</v>
      </c>
    </row>
    <row r="528" spans="1:25" hidden="1" x14ac:dyDescent="0.25">
      <c r="A528" s="283" t="s">
        <v>725</v>
      </c>
      <c r="B528" s="260">
        <v>45827</v>
      </c>
      <c r="C528" s="261" t="s">
        <v>438</v>
      </c>
      <c r="D528" s="261"/>
      <c r="E528" s="262">
        <v>208.24</v>
      </c>
      <c r="F528" s="262">
        <v>0</v>
      </c>
      <c r="G528" s="285">
        <f>Tabla3[[#This Row],[INGRESOS]]-Tabla3[[#This Row],[EGRESOS]]</f>
        <v>-208.24</v>
      </c>
      <c r="H528" s="135">
        <v>-3521096.06</v>
      </c>
      <c r="I528" s="135">
        <v>1140</v>
      </c>
      <c r="J528" s="136">
        <f>Tabla3[[#This Row],[EGRESOS]]/Tabla3[[#This Row],[TC]]</f>
        <v>0.18266666666666667</v>
      </c>
      <c r="K528" s="136">
        <f>Tabla3[[#This Row],[INGRESOS]]/Tabla3[[#This Row],[TC]]</f>
        <v>0</v>
      </c>
      <c r="L528" s="8" t="s">
        <v>303</v>
      </c>
      <c r="M528" s="8" t="s">
        <v>304</v>
      </c>
      <c r="N528" s="8" t="s">
        <v>28</v>
      </c>
      <c r="O528" s="8" t="s">
        <v>184</v>
      </c>
      <c r="P528" s="8" t="s">
        <v>187</v>
      </c>
      <c r="Q528" s="8" t="s">
        <v>188</v>
      </c>
      <c r="R528" s="8" t="s">
        <v>317</v>
      </c>
      <c r="S528" s="8"/>
      <c r="T528" s="8"/>
      <c r="U528" s="8" t="s">
        <v>261</v>
      </c>
      <c r="V528" s="8"/>
      <c r="W528" s="8" t="s">
        <v>306</v>
      </c>
      <c r="X528" s="8" t="s">
        <v>98</v>
      </c>
      <c r="Y528" s="8" t="s">
        <v>23</v>
      </c>
    </row>
    <row r="529" spans="1:25" x14ac:dyDescent="0.25">
      <c r="A529" s="283" t="s">
        <v>725</v>
      </c>
      <c r="B529" s="260">
        <v>45831</v>
      </c>
      <c r="C529" s="261" t="s">
        <v>440</v>
      </c>
      <c r="D529" s="261"/>
      <c r="E529" s="262">
        <v>377406</v>
      </c>
      <c r="F529" s="262">
        <v>0</v>
      </c>
      <c r="G529" s="285">
        <f>Tabla3[[#This Row],[INGRESOS]]-Tabla3[[#This Row],[EGRESOS]]</f>
        <v>-377406</v>
      </c>
      <c r="H529" s="135">
        <v>-3898502.06</v>
      </c>
      <c r="I529" s="135">
        <v>1140</v>
      </c>
      <c r="J529" s="136">
        <f>Tabla3[[#This Row],[EGRESOS]]/Tabla3[[#This Row],[TC]]</f>
        <v>331.05789473684212</v>
      </c>
      <c r="K529" s="136">
        <f>Tabla3[[#This Row],[INGRESOS]]/Tabla3[[#This Row],[TC]]</f>
        <v>0</v>
      </c>
      <c r="L529" s="8" t="s">
        <v>303</v>
      </c>
      <c r="M529" s="8" t="s">
        <v>304</v>
      </c>
      <c r="N529" s="8" t="s">
        <v>28</v>
      </c>
      <c r="O529" s="8" t="s">
        <v>742</v>
      </c>
      <c r="P529" s="8" t="s">
        <v>220</v>
      </c>
      <c r="Q529" s="8" t="s">
        <v>736</v>
      </c>
      <c r="R529" s="8" t="s">
        <v>142</v>
      </c>
      <c r="S529" s="8" t="s">
        <v>876</v>
      </c>
      <c r="T529" s="8"/>
      <c r="U529" s="8" t="s">
        <v>258</v>
      </c>
      <c r="V529" s="8"/>
      <c r="W529" s="8" t="s">
        <v>306</v>
      </c>
      <c r="X529" s="8" t="s">
        <v>29</v>
      </c>
      <c r="Y529" s="8" t="s">
        <v>23</v>
      </c>
    </row>
    <row r="530" spans="1:25" hidden="1" x14ac:dyDescent="0.25">
      <c r="A530" s="283" t="s">
        <v>725</v>
      </c>
      <c r="B530" s="260">
        <v>45831</v>
      </c>
      <c r="C530" s="261" t="s">
        <v>440</v>
      </c>
      <c r="D530" s="261"/>
      <c r="E530" s="262">
        <v>593826</v>
      </c>
      <c r="F530" s="262">
        <v>0</v>
      </c>
      <c r="G530" s="285">
        <f>Tabla3[[#This Row],[INGRESOS]]-Tabla3[[#This Row],[EGRESOS]]</f>
        <v>-593826</v>
      </c>
      <c r="H530" s="135">
        <v>-4492328.0599999996</v>
      </c>
      <c r="I530" s="135">
        <v>1140</v>
      </c>
      <c r="J530" s="136">
        <f>Tabla3[[#This Row],[EGRESOS]]/Tabla3[[#This Row],[TC]]</f>
        <v>520.9</v>
      </c>
      <c r="K530" s="136">
        <f>Tabla3[[#This Row],[INGRESOS]]/Tabla3[[#This Row],[TC]]</f>
        <v>0</v>
      </c>
      <c r="L530" s="8" t="s">
        <v>303</v>
      </c>
      <c r="M530" s="8" t="s">
        <v>304</v>
      </c>
      <c r="N530" s="8" t="s">
        <v>28</v>
      </c>
      <c r="O530" s="8" t="s">
        <v>184</v>
      </c>
      <c r="P530" s="8" t="s">
        <v>237</v>
      </c>
      <c r="Q530" s="8" t="s">
        <v>248</v>
      </c>
      <c r="R530" s="8" t="s">
        <v>917</v>
      </c>
      <c r="S530" s="8" t="s">
        <v>418</v>
      </c>
      <c r="T530" s="8"/>
      <c r="U530" s="8" t="s">
        <v>273</v>
      </c>
      <c r="V530" s="8"/>
      <c r="W530" s="8" t="s">
        <v>306</v>
      </c>
      <c r="X530" s="8" t="s">
        <v>39</v>
      </c>
      <c r="Y530" s="8" t="s">
        <v>23</v>
      </c>
    </row>
    <row r="531" spans="1:25" hidden="1" x14ac:dyDescent="0.25">
      <c r="A531" s="283" t="s">
        <v>725</v>
      </c>
      <c r="B531" s="260">
        <v>45831</v>
      </c>
      <c r="C531" s="261" t="s">
        <v>440</v>
      </c>
      <c r="D531" s="261"/>
      <c r="E531" s="262">
        <v>200000</v>
      </c>
      <c r="F531" s="262">
        <v>0</v>
      </c>
      <c r="G531" s="285">
        <f>Tabla3[[#This Row],[INGRESOS]]-Tabla3[[#This Row],[EGRESOS]]</f>
        <v>-200000</v>
      </c>
      <c r="H531" s="135">
        <v>-4692328.0599999996</v>
      </c>
      <c r="I531" s="135">
        <v>1140</v>
      </c>
      <c r="J531" s="136">
        <f>Tabla3[[#This Row],[EGRESOS]]/Tabla3[[#This Row],[TC]]</f>
        <v>175.43859649122808</v>
      </c>
      <c r="K531" s="136">
        <f>Tabla3[[#This Row],[INGRESOS]]/Tabla3[[#This Row],[TC]]</f>
        <v>0</v>
      </c>
      <c r="L531" s="8" t="s">
        <v>303</v>
      </c>
      <c r="M531" s="8" t="s">
        <v>304</v>
      </c>
      <c r="N531" s="8" t="s">
        <v>28</v>
      </c>
      <c r="O531" s="8" t="s">
        <v>184</v>
      </c>
      <c r="P531" s="8" t="s">
        <v>194</v>
      </c>
      <c r="Q531" s="8" t="s">
        <v>196</v>
      </c>
      <c r="R531" s="8" t="s">
        <v>887</v>
      </c>
      <c r="S531" s="8" t="s">
        <v>331</v>
      </c>
      <c r="T531" s="8"/>
      <c r="U531" s="8" t="s">
        <v>267</v>
      </c>
      <c r="V531" s="8" t="s">
        <v>332</v>
      </c>
      <c r="W531" s="8" t="s">
        <v>306</v>
      </c>
      <c r="X531" s="8" t="s">
        <v>101</v>
      </c>
      <c r="Y531" s="8" t="s">
        <v>23</v>
      </c>
    </row>
    <row r="532" spans="1:25" hidden="1" x14ac:dyDescent="0.25">
      <c r="A532" s="283" t="s">
        <v>725</v>
      </c>
      <c r="B532" s="260">
        <v>45831</v>
      </c>
      <c r="C532" s="261" t="s">
        <v>438</v>
      </c>
      <c r="D532" s="261"/>
      <c r="E532" s="262">
        <v>7027.39</v>
      </c>
      <c r="F532" s="262">
        <v>0</v>
      </c>
      <c r="G532" s="285">
        <f>Tabla3[[#This Row],[INGRESOS]]-Tabla3[[#This Row],[EGRESOS]]</f>
        <v>-7027.39</v>
      </c>
      <c r="H532" s="135">
        <v>-4699355.45</v>
      </c>
      <c r="I532" s="135">
        <v>1140</v>
      </c>
      <c r="J532" s="136">
        <f>Tabla3[[#This Row],[EGRESOS]]/Tabla3[[#This Row],[TC]]</f>
        <v>6.1643771929824567</v>
      </c>
      <c r="K532" s="136">
        <f>Tabla3[[#This Row],[INGRESOS]]/Tabla3[[#This Row],[TC]]</f>
        <v>0</v>
      </c>
      <c r="L532" s="8" t="s">
        <v>303</v>
      </c>
      <c r="M532" s="8" t="s">
        <v>304</v>
      </c>
      <c r="N532" s="8" t="s">
        <v>28</v>
      </c>
      <c r="O532" s="8" t="s">
        <v>184</v>
      </c>
      <c r="P532" s="8" t="s">
        <v>187</v>
      </c>
      <c r="Q532" s="8" t="s">
        <v>188</v>
      </c>
      <c r="R532" s="8" t="s">
        <v>317</v>
      </c>
      <c r="S532" s="8"/>
      <c r="T532" s="8"/>
      <c r="U532" s="8" t="s">
        <v>261</v>
      </c>
      <c r="V532" s="8"/>
      <c r="W532" s="8" t="s">
        <v>306</v>
      </c>
      <c r="X532" s="8" t="s">
        <v>98</v>
      </c>
      <c r="Y532" s="8" t="s">
        <v>23</v>
      </c>
    </row>
    <row r="533" spans="1:25" hidden="1" x14ac:dyDescent="0.25">
      <c r="A533" s="283" t="s">
        <v>725</v>
      </c>
      <c r="B533" s="260">
        <v>45832</v>
      </c>
      <c r="C533" s="261" t="s">
        <v>901</v>
      </c>
      <c r="D533" s="261" t="s">
        <v>902</v>
      </c>
      <c r="E533" s="262">
        <v>8184079.3300000001</v>
      </c>
      <c r="F533" s="262">
        <v>0</v>
      </c>
      <c r="G533" s="285">
        <f>Tabla3[[#This Row],[INGRESOS]]-Tabla3[[#This Row],[EGRESOS]]</f>
        <v>-8184079.3300000001</v>
      </c>
      <c r="H533" s="135">
        <v>-12883434.779999999</v>
      </c>
      <c r="I533" s="135">
        <v>1140</v>
      </c>
      <c r="J533" s="136">
        <f>Tabla3[[#This Row],[EGRESOS]]/Tabla3[[#This Row],[TC]]</f>
        <v>7179.0169561403509</v>
      </c>
      <c r="K533" s="136">
        <f>Tabla3[[#This Row],[INGRESOS]]/Tabla3[[#This Row],[TC]]</f>
        <v>0</v>
      </c>
      <c r="L533" s="8" t="s">
        <v>303</v>
      </c>
      <c r="M533" s="8" t="s">
        <v>304</v>
      </c>
      <c r="N533" s="8" t="s">
        <v>28</v>
      </c>
      <c r="O533" s="8" t="s">
        <v>197</v>
      </c>
      <c r="P533" s="8" t="s">
        <v>198</v>
      </c>
      <c r="Q533" s="8" t="s">
        <v>200</v>
      </c>
      <c r="R533" s="8" t="s">
        <v>905</v>
      </c>
      <c r="S533" s="8" t="s">
        <v>903</v>
      </c>
      <c r="T533" s="8" t="s">
        <v>904</v>
      </c>
      <c r="U533" s="8" t="s">
        <v>258</v>
      </c>
      <c r="V533" s="8"/>
      <c r="W533" s="8" t="s">
        <v>306</v>
      </c>
      <c r="X533" s="8" t="s">
        <v>29</v>
      </c>
      <c r="Y533" s="8" t="s">
        <v>23</v>
      </c>
    </row>
    <row r="534" spans="1:25" hidden="1" x14ac:dyDescent="0.25">
      <c r="A534" s="283" t="s">
        <v>725</v>
      </c>
      <c r="B534" s="260">
        <v>45832</v>
      </c>
      <c r="C534" s="261" t="s">
        <v>457</v>
      </c>
      <c r="D534" s="261"/>
      <c r="E534" s="262">
        <v>0</v>
      </c>
      <c r="F534" s="262">
        <v>5000000</v>
      </c>
      <c r="G534" s="285">
        <f>Tabla3[[#This Row],[INGRESOS]]-Tabla3[[#This Row],[EGRESOS]]</f>
        <v>5000000</v>
      </c>
      <c r="H534" s="135">
        <v>-7883434.7800000003</v>
      </c>
      <c r="I534" s="135">
        <v>1140</v>
      </c>
      <c r="J534" s="136">
        <f>Tabla3[[#This Row],[EGRESOS]]/Tabla3[[#This Row],[TC]]</f>
        <v>0</v>
      </c>
      <c r="K534" s="136">
        <f>Tabla3[[#This Row],[INGRESOS]]/Tabla3[[#This Row],[TC]]</f>
        <v>4385.9649122807014</v>
      </c>
      <c r="L534" s="8" t="s">
        <v>303</v>
      </c>
      <c r="M534" s="8" t="s">
        <v>304</v>
      </c>
      <c r="N534" s="8" t="s">
        <v>28</v>
      </c>
      <c r="O534" s="8" t="s">
        <v>214</v>
      </c>
      <c r="P534" s="8" t="s">
        <v>216</v>
      </c>
      <c r="Q534" s="8" t="s">
        <v>217</v>
      </c>
      <c r="R534" s="8" t="s">
        <v>914</v>
      </c>
      <c r="S534" s="8"/>
      <c r="T534" s="8"/>
      <c r="U534" s="8" t="s">
        <v>262</v>
      </c>
      <c r="V534" s="8"/>
      <c r="W534" s="8" t="s">
        <v>306</v>
      </c>
      <c r="X534" s="8"/>
      <c r="Y534" s="8"/>
    </row>
    <row r="535" spans="1:25" hidden="1" x14ac:dyDescent="0.25">
      <c r="A535" s="283" t="s">
        <v>725</v>
      </c>
      <c r="B535" s="260">
        <v>45832</v>
      </c>
      <c r="C535" s="261" t="s">
        <v>457</v>
      </c>
      <c r="D535" s="261"/>
      <c r="E535" s="262">
        <v>0</v>
      </c>
      <c r="F535" s="262">
        <v>950000</v>
      </c>
      <c r="G535" s="285">
        <f>Tabla3[[#This Row],[INGRESOS]]-Tabla3[[#This Row],[EGRESOS]]</f>
        <v>950000</v>
      </c>
      <c r="H535" s="135">
        <v>-6933434.7800000003</v>
      </c>
      <c r="I535" s="135">
        <v>1140</v>
      </c>
      <c r="J535" s="136">
        <f>Tabla3[[#This Row],[EGRESOS]]/Tabla3[[#This Row],[TC]]</f>
        <v>0</v>
      </c>
      <c r="K535" s="136">
        <f>Tabla3[[#This Row],[INGRESOS]]/Tabla3[[#This Row],[TC]]</f>
        <v>833.33333333333337</v>
      </c>
      <c r="L535" s="8" t="s">
        <v>303</v>
      </c>
      <c r="M535" s="8" t="s">
        <v>304</v>
      </c>
      <c r="N535" s="8" t="s">
        <v>28</v>
      </c>
      <c r="O535" s="8" t="s">
        <v>214</v>
      </c>
      <c r="P535" s="8" t="s">
        <v>216</v>
      </c>
      <c r="Q535" s="8" t="s">
        <v>217</v>
      </c>
      <c r="R535" s="8" t="s">
        <v>664</v>
      </c>
      <c r="S535" s="8"/>
      <c r="T535" s="8"/>
      <c r="U535" s="8" t="s">
        <v>262</v>
      </c>
      <c r="V535" s="8"/>
      <c r="W535" s="8" t="s">
        <v>306</v>
      </c>
      <c r="X535" s="8"/>
      <c r="Y535" s="8"/>
    </row>
    <row r="536" spans="1:25" x14ac:dyDescent="0.25">
      <c r="A536" s="283" t="s">
        <v>725</v>
      </c>
      <c r="B536" s="260">
        <v>45832</v>
      </c>
      <c r="C536" s="261" t="s">
        <v>440</v>
      </c>
      <c r="D536" s="261"/>
      <c r="E536" s="262">
        <v>55200</v>
      </c>
      <c r="F536" s="262">
        <v>0</v>
      </c>
      <c r="G536" s="285">
        <f>Tabla3[[#This Row],[INGRESOS]]-Tabla3[[#This Row],[EGRESOS]]</f>
        <v>-55200</v>
      </c>
      <c r="H536" s="135">
        <v>-7140634.7800000003</v>
      </c>
      <c r="I536" s="135">
        <v>1140</v>
      </c>
      <c r="J536" s="136">
        <f>Tabla3[[#This Row],[EGRESOS]]/Tabla3[[#This Row],[TC]]</f>
        <v>48.421052631578945</v>
      </c>
      <c r="K536" s="136">
        <f>Tabla3[[#This Row],[INGRESOS]]/Tabla3[[#This Row],[TC]]</f>
        <v>0</v>
      </c>
      <c r="L536" s="8" t="s">
        <v>303</v>
      </c>
      <c r="M536" s="8" t="s">
        <v>304</v>
      </c>
      <c r="N536" s="8" t="s">
        <v>28</v>
      </c>
      <c r="O536" s="8" t="s">
        <v>742</v>
      </c>
      <c r="P536" s="8" t="s">
        <v>220</v>
      </c>
      <c r="Q536" s="8" t="s">
        <v>788</v>
      </c>
      <c r="R536" s="8" t="s">
        <v>142</v>
      </c>
      <c r="S536" s="8" t="s">
        <v>848</v>
      </c>
      <c r="T536" s="8"/>
      <c r="U536" s="8" t="s">
        <v>258</v>
      </c>
      <c r="V536" s="8"/>
      <c r="W536" s="8" t="s">
        <v>306</v>
      </c>
      <c r="X536" s="8" t="s">
        <v>29</v>
      </c>
      <c r="Y536" s="8" t="s">
        <v>23</v>
      </c>
    </row>
    <row r="537" spans="1:25" hidden="1" x14ac:dyDescent="0.25">
      <c r="A537" s="283" t="s">
        <v>725</v>
      </c>
      <c r="B537" s="260">
        <v>45832</v>
      </c>
      <c r="C537" s="261" t="s">
        <v>440</v>
      </c>
      <c r="D537" s="261"/>
      <c r="E537" s="262">
        <v>152000</v>
      </c>
      <c r="F537" s="262">
        <v>0</v>
      </c>
      <c r="G537" s="285">
        <f>Tabla3[[#This Row],[INGRESOS]]-Tabla3[[#This Row],[EGRESOS]]</f>
        <v>-152000</v>
      </c>
      <c r="H537" s="135">
        <v>-7140634.7800000003</v>
      </c>
      <c r="I537" s="135">
        <v>1140</v>
      </c>
      <c r="J537" s="136">
        <f>Tabla3[[#This Row],[EGRESOS]]/Tabla3[[#This Row],[TC]]</f>
        <v>133.33333333333334</v>
      </c>
      <c r="K537" s="136">
        <f>Tabla3[[#This Row],[INGRESOS]]/Tabla3[[#This Row],[TC]]</f>
        <v>0</v>
      </c>
      <c r="L537" s="8" t="s">
        <v>303</v>
      </c>
      <c r="M537" s="8" t="s">
        <v>304</v>
      </c>
      <c r="N537" s="8" t="s">
        <v>28</v>
      </c>
      <c r="O537" s="8" t="s">
        <v>184</v>
      </c>
      <c r="P537" s="8" t="s">
        <v>210</v>
      </c>
      <c r="Q537" s="8" t="s">
        <v>229</v>
      </c>
      <c r="R537" s="8" t="s">
        <v>491</v>
      </c>
      <c r="S537" s="8" t="s">
        <v>916</v>
      </c>
      <c r="T537" s="8"/>
      <c r="U537" s="8" t="s">
        <v>258</v>
      </c>
      <c r="V537" s="8"/>
      <c r="W537" s="8" t="s">
        <v>306</v>
      </c>
      <c r="X537" s="8" t="s">
        <v>29</v>
      </c>
      <c r="Y537" s="8" t="s">
        <v>23</v>
      </c>
    </row>
    <row r="538" spans="1:25" hidden="1" x14ac:dyDescent="0.25">
      <c r="A538" s="283" t="s">
        <v>725</v>
      </c>
      <c r="B538" s="260">
        <v>45832</v>
      </c>
      <c r="C538" s="261" t="s">
        <v>438</v>
      </c>
      <c r="D538" s="261"/>
      <c r="E538" s="262">
        <v>50347.68</v>
      </c>
      <c r="F538" s="262">
        <v>0</v>
      </c>
      <c r="G538" s="285">
        <f>Tabla3[[#This Row],[INGRESOS]]-Tabla3[[#This Row],[EGRESOS]]</f>
        <v>-50347.68</v>
      </c>
      <c r="H538" s="135">
        <v>-7190982.46</v>
      </c>
      <c r="I538" s="135">
        <v>1140</v>
      </c>
      <c r="J538" s="136">
        <f>Tabla3[[#This Row],[EGRESOS]]/Tabla3[[#This Row],[TC]]</f>
        <v>44.164631578947372</v>
      </c>
      <c r="K538" s="136">
        <f>Tabla3[[#This Row],[INGRESOS]]/Tabla3[[#This Row],[TC]]</f>
        <v>0</v>
      </c>
      <c r="L538" s="8" t="s">
        <v>303</v>
      </c>
      <c r="M538" s="8" t="s">
        <v>304</v>
      </c>
      <c r="N538" s="8" t="s">
        <v>28</v>
      </c>
      <c r="O538" s="8" t="s">
        <v>184</v>
      </c>
      <c r="P538" s="8" t="s">
        <v>187</v>
      </c>
      <c r="Q538" s="8" t="s">
        <v>188</v>
      </c>
      <c r="R538" s="8" t="s">
        <v>317</v>
      </c>
      <c r="S538" s="8"/>
      <c r="T538" s="8"/>
      <c r="U538" s="8" t="s">
        <v>261</v>
      </c>
      <c r="V538" s="8"/>
      <c r="W538" s="8" t="s">
        <v>306</v>
      </c>
      <c r="X538" s="8" t="s">
        <v>98</v>
      </c>
      <c r="Y538" s="8" t="s">
        <v>23</v>
      </c>
    </row>
    <row r="539" spans="1:25" hidden="1" x14ac:dyDescent="0.25">
      <c r="A539" s="283" t="s">
        <v>725</v>
      </c>
      <c r="B539" s="260">
        <v>45833</v>
      </c>
      <c r="C539" s="261" t="s">
        <v>470</v>
      </c>
      <c r="D539" s="261"/>
      <c r="E539" s="262">
        <v>0</v>
      </c>
      <c r="F539" s="262">
        <v>7200000</v>
      </c>
      <c r="G539" s="285">
        <f>Tabla3[[#This Row],[INGRESOS]]-Tabla3[[#This Row],[EGRESOS]]</f>
        <v>7200000</v>
      </c>
      <c r="H539" s="135">
        <v>9017.5400000000009</v>
      </c>
      <c r="I539" s="135">
        <v>1140</v>
      </c>
      <c r="J539" s="136">
        <f>Tabla3[[#This Row],[EGRESOS]]/Tabla3[[#This Row],[TC]]</f>
        <v>0</v>
      </c>
      <c r="K539" s="136">
        <f>Tabla3[[#This Row],[INGRESOS]]/Tabla3[[#This Row],[TC]]</f>
        <v>6315.7894736842109</v>
      </c>
      <c r="L539" s="8" t="s">
        <v>303</v>
      </c>
      <c r="M539" s="8" t="s">
        <v>304</v>
      </c>
      <c r="N539" s="8" t="s">
        <v>28</v>
      </c>
      <c r="O539" s="8" t="s">
        <v>214</v>
      </c>
      <c r="P539" s="8" t="s">
        <v>216</v>
      </c>
      <c r="Q539" s="8" t="s">
        <v>217</v>
      </c>
      <c r="R539" s="8" t="s">
        <v>388</v>
      </c>
      <c r="S539" s="8"/>
      <c r="T539" s="8"/>
      <c r="U539" s="8" t="s">
        <v>262</v>
      </c>
      <c r="V539" s="8"/>
      <c r="W539" s="8" t="s">
        <v>306</v>
      </c>
      <c r="X539" s="8"/>
      <c r="Y539" s="8"/>
    </row>
    <row r="540" spans="1:25" hidden="1" x14ac:dyDescent="0.25">
      <c r="A540" s="283" t="s">
        <v>725</v>
      </c>
      <c r="B540" s="260">
        <v>45833</v>
      </c>
      <c r="C540" s="261" t="s">
        <v>440</v>
      </c>
      <c r="D540" s="261"/>
      <c r="E540" s="262">
        <v>232500</v>
      </c>
      <c r="F540" s="262">
        <v>0</v>
      </c>
      <c r="G540" s="285">
        <f>Tabla3[[#This Row],[INGRESOS]]-Tabla3[[#This Row],[EGRESOS]]</f>
        <v>-232500</v>
      </c>
      <c r="H540" s="135">
        <v>-223482.46</v>
      </c>
      <c r="I540" s="135">
        <v>1140</v>
      </c>
      <c r="J540" s="136">
        <f>Tabla3[[#This Row],[EGRESOS]]/Tabla3[[#This Row],[TC]]</f>
        <v>203.94736842105263</v>
      </c>
      <c r="K540" s="136">
        <f>Tabla3[[#This Row],[INGRESOS]]/Tabla3[[#This Row],[TC]]</f>
        <v>0</v>
      </c>
      <c r="L540" s="8" t="s">
        <v>303</v>
      </c>
      <c r="M540" s="8" t="s">
        <v>304</v>
      </c>
      <c r="N540" s="8" t="s">
        <v>28</v>
      </c>
      <c r="O540" s="8" t="s">
        <v>204</v>
      </c>
      <c r="P540" s="8" t="s">
        <v>205</v>
      </c>
      <c r="Q540" s="8" t="s">
        <v>925</v>
      </c>
      <c r="R540" s="8"/>
      <c r="S540" s="8" t="s">
        <v>923</v>
      </c>
      <c r="T540" s="8" t="s">
        <v>924</v>
      </c>
      <c r="U540" s="8" t="s">
        <v>258</v>
      </c>
      <c r="V540" s="8"/>
      <c r="W540" s="8" t="s">
        <v>306</v>
      </c>
      <c r="X540" s="8" t="s">
        <v>29</v>
      </c>
      <c r="Y540" s="8" t="s">
        <v>23</v>
      </c>
    </row>
    <row r="541" spans="1:25" hidden="1" x14ac:dyDescent="0.25">
      <c r="A541" s="283" t="s">
        <v>725</v>
      </c>
      <c r="B541" s="260">
        <v>45833</v>
      </c>
      <c r="C541" s="261" t="s">
        <v>438</v>
      </c>
      <c r="D541" s="261"/>
      <c r="E541" s="262">
        <v>1395</v>
      </c>
      <c r="F541" s="262">
        <v>0</v>
      </c>
      <c r="G541" s="285">
        <f>Tabla3[[#This Row],[INGRESOS]]-Tabla3[[#This Row],[EGRESOS]]</f>
        <v>-1395</v>
      </c>
      <c r="H541" s="135">
        <v>-224877.46</v>
      </c>
      <c r="I541" s="135">
        <v>1140</v>
      </c>
      <c r="J541" s="136">
        <f>Tabla3[[#This Row],[EGRESOS]]/Tabla3[[#This Row],[TC]]</f>
        <v>1.2236842105263157</v>
      </c>
      <c r="K541" s="136">
        <f>Tabla3[[#This Row],[INGRESOS]]/Tabla3[[#This Row],[TC]]</f>
        <v>0</v>
      </c>
      <c r="L541" s="8" t="s">
        <v>303</v>
      </c>
      <c r="M541" s="8" t="s">
        <v>304</v>
      </c>
      <c r="N541" s="8" t="s">
        <v>28</v>
      </c>
      <c r="O541" s="8" t="s">
        <v>184</v>
      </c>
      <c r="P541" s="8" t="s">
        <v>187</v>
      </c>
      <c r="Q541" s="8" t="s">
        <v>188</v>
      </c>
      <c r="R541" s="8" t="s">
        <v>317</v>
      </c>
      <c r="S541" s="8"/>
      <c r="T541" s="8"/>
      <c r="U541" s="8" t="s">
        <v>261</v>
      </c>
      <c r="V541" s="8"/>
      <c r="W541" s="8" t="s">
        <v>306</v>
      </c>
      <c r="X541" s="8" t="s">
        <v>98</v>
      </c>
      <c r="Y541" s="8" t="s">
        <v>23</v>
      </c>
    </row>
    <row r="542" spans="1:25" hidden="1" x14ac:dyDescent="0.25">
      <c r="A542" s="283" t="s">
        <v>726</v>
      </c>
      <c r="B542" s="260">
        <v>45839</v>
      </c>
      <c r="C542" s="261" t="s">
        <v>437</v>
      </c>
      <c r="D542" s="261"/>
      <c r="E542" s="262">
        <v>48000</v>
      </c>
      <c r="F542" s="262">
        <v>0</v>
      </c>
      <c r="G542" s="285">
        <f>Tabla3[[#This Row],[INGRESOS]]-Tabla3[[#This Row],[EGRESOS]]</f>
        <v>-48000</v>
      </c>
      <c r="H542" s="135">
        <v>-272877.46000000002</v>
      </c>
      <c r="I542" s="135">
        <v>1140</v>
      </c>
      <c r="J542" s="136">
        <f>Tabla3[[#This Row],[EGRESOS]]/Tabla3[[#This Row],[TC]]</f>
        <v>42.10526315789474</v>
      </c>
      <c r="K542" s="136">
        <f>Tabla3[[#This Row],[INGRESOS]]/Tabla3[[#This Row],[TC]]</f>
        <v>0</v>
      </c>
      <c r="L542" s="8" t="s">
        <v>303</v>
      </c>
      <c r="M542" s="8" t="s">
        <v>304</v>
      </c>
      <c r="N542" s="8" t="s">
        <v>28</v>
      </c>
      <c r="O542" s="8" t="s">
        <v>184</v>
      </c>
      <c r="P542" s="8" t="s">
        <v>185</v>
      </c>
      <c r="Q542" s="8" t="s">
        <v>186</v>
      </c>
      <c r="R542" s="8"/>
      <c r="S542" s="8"/>
      <c r="T542" s="8"/>
      <c r="U542" s="8" t="s">
        <v>261</v>
      </c>
      <c r="V542" s="8"/>
      <c r="W542" s="8" t="s">
        <v>306</v>
      </c>
      <c r="X542" s="8" t="s">
        <v>98</v>
      </c>
      <c r="Y542" s="8" t="s">
        <v>23</v>
      </c>
    </row>
    <row r="543" spans="1:25" hidden="1" x14ac:dyDescent="0.25">
      <c r="A543" s="283" t="s">
        <v>726</v>
      </c>
      <c r="B543" s="260">
        <v>45839</v>
      </c>
      <c r="C543" s="261" t="s">
        <v>232</v>
      </c>
      <c r="D543" s="261"/>
      <c r="E543" s="262">
        <v>10080</v>
      </c>
      <c r="F543" s="262">
        <v>0</v>
      </c>
      <c r="G543" s="285">
        <f>Tabla3[[#This Row],[INGRESOS]]-Tabla3[[#This Row],[EGRESOS]]</f>
        <v>-10080</v>
      </c>
      <c r="H543" s="135">
        <v>-282957.46000000002</v>
      </c>
      <c r="I543" s="135">
        <v>1140</v>
      </c>
      <c r="J543" s="136">
        <f>Tabla3[[#This Row],[EGRESOS]]/Tabla3[[#This Row],[TC]]</f>
        <v>8.8421052631578956</v>
      </c>
      <c r="K543" s="136">
        <f>Tabla3[[#This Row],[INGRESOS]]/Tabla3[[#This Row],[TC]]</f>
        <v>0</v>
      </c>
      <c r="L543" s="8" t="s">
        <v>303</v>
      </c>
      <c r="M543" s="8" t="s">
        <v>304</v>
      </c>
      <c r="N543" s="8" t="s">
        <v>28</v>
      </c>
      <c r="O543" s="8" t="s">
        <v>184</v>
      </c>
      <c r="P543" s="8" t="s">
        <v>187</v>
      </c>
      <c r="Q543" s="8" t="s">
        <v>188</v>
      </c>
      <c r="R543" s="8"/>
      <c r="S543" s="8"/>
      <c r="T543" s="8"/>
      <c r="U543" s="8" t="s">
        <v>261</v>
      </c>
      <c r="V543" s="8"/>
      <c r="W543" s="8" t="s">
        <v>306</v>
      </c>
      <c r="X543" s="8" t="s">
        <v>98</v>
      </c>
      <c r="Y543" s="8" t="s">
        <v>23</v>
      </c>
    </row>
    <row r="544" spans="1:25" hidden="1" x14ac:dyDescent="0.25">
      <c r="A544" s="283" t="s">
        <v>726</v>
      </c>
      <c r="B544" s="260">
        <v>45839</v>
      </c>
      <c r="C544" s="261" t="s">
        <v>436</v>
      </c>
      <c r="D544" s="261"/>
      <c r="E544" s="262">
        <v>1440</v>
      </c>
      <c r="F544" s="262">
        <v>0</v>
      </c>
      <c r="G544" s="285">
        <f>Tabla3[[#This Row],[INGRESOS]]-Tabla3[[#This Row],[EGRESOS]]</f>
        <v>-1440</v>
      </c>
      <c r="H544" s="135">
        <v>-284397.46000000002</v>
      </c>
      <c r="I544" s="135">
        <v>1140</v>
      </c>
      <c r="J544" s="136">
        <f>Tabla3[[#This Row],[EGRESOS]]/Tabla3[[#This Row],[TC]]</f>
        <v>1.263157894736842</v>
      </c>
      <c r="K544" s="136">
        <f>Tabla3[[#This Row],[INGRESOS]]/Tabla3[[#This Row],[TC]]</f>
        <v>0</v>
      </c>
      <c r="L544" s="8" t="s">
        <v>303</v>
      </c>
      <c r="M544" s="8" t="s">
        <v>304</v>
      </c>
      <c r="N544" s="8" t="s">
        <v>28</v>
      </c>
      <c r="O544" s="8" t="s">
        <v>184</v>
      </c>
      <c r="P544" s="8" t="s">
        <v>187</v>
      </c>
      <c r="Q544" s="8" t="s">
        <v>188</v>
      </c>
      <c r="R544" s="8"/>
      <c r="S544" s="8"/>
      <c r="T544" s="8"/>
      <c r="U544" s="8" t="s">
        <v>261</v>
      </c>
      <c r="V544" s="8"/>
      <c r="W544" s="8" t="s">
        <v>306</v>
      </c>
      <c r="X544" s="8" t="s">
        <v>98</v>
      </c>
      <c r="Y544" s="8" t="s">
        <v>23</v>
      </c>
    </row>
    <row r="545" spans="1:25" hidden="1" x14ac:dyDescent="0.25">
      <c r="A545" s="283" t="s">
        <v>726</v>
      </c>
      <c r="B545" s="260">
        <v>45839</v>
      </c>
      <c r="C545" s="261" t="s">
        <v>452</v>
      </c>
      <c r="D545" s="261"/>
      <c r="E545" s="262">
        <v>9600</v>
      </c>
      <c r="F545" s="262">
        <v>0</v>
      </c>
      <c r="G545" s="285">
        <f>Tabla3[[#This Row],[INGRESOS]]-Tabla3[[#This Row],[EGRESOS]]</f>
        <v>-9600</v>
      </c>
      <c r="H545" s="135">
        <v>-293997.46000000002</v>
      </c>
      <c r="I545" s="135">
        <v>1140</v>
      </c>
      <c r="J545" s="136">
        <f>Tabla3[[#This Row],[EGRESOS]]/Tabla3[[#This Row],[TC]]</f>
        <v>8.4210526315789469</v>
      </c>
      <c r="K545" s="136">
        <f>Tabla3[[#This Row],[INGRESOS]]/Tabla3[[#This Row],[TC]]</f>
        <v>0</v>
      </c>
      <c r="L545" s="8" t="s">
        <v>303</v>
      </c>
      <c r="M545" s="8" t="s">
        <v>304</v>
      </c>
      <c r="N545" s="8" t="s">
        <v>28</v>
      </c>
      <c r="O545" s="8" t="s">
        <v>184</v>
      </c>
      <c r="P545" s="8" t="s">
        <v>185</v>
      </c>
      <c r="Q545" s="8" t="s">
        <v>186</v>
      </c>
      <c r="R545" s="8"/>
      <c r="S545" s="8"/>
      <c r="T545" s="8"/>
      <c r="U545" s="8" t="s">
        <v>261</v>
      </c>
      <c r="V545" s="8"/>
      <c r="W545" s="8" t="s">
        <v>306</v>
      </c>
      <c r="X545" s="8" t="s">
        <v>98</v>
      </c>
      <c r="Y545" s="8" t="s">
        <v>23</v>
      </c>
    </row>
    <row r="546" spans="1:25" hidden="1" x14ac:dyDescent="0.25">
      <c r="A546" s="283" t="s">
        <v>726</v>
      </c>
      <c r="B546" s="260">
        <v>45839</v>
      </c>
      <c r="C546" s="261" t="s">
        <v>232</v>
      </c>
      <c r="D546" s="261"/>
      <c r="E546" s="262">
        <v>2016</v>
      </c>
      <c r="F546" s="262">
        <v>0</v>
      </c>
      <c r="G546" s="285">
        <f>Tabla3[[#This Row],[INGRESOS]]-Tabla3[[#This Row],[EGRESOS]]</f>
        <v>-2016</v>
      </c>
      <c r="H546" s="135">
        <v>-296013.46000000002</v>
      </c>
      <c r="I546" s="135">
        <v>1140</v>
      </c>
      <c r="J546" s="136">
        <f>Tabla3[[#This Row],[EGRESOS]]/Tabla3[[#This Row],[TC]]</f>
        <v>1.7684210526315789</v>
      </c>
      <c r="K546" s="136">
        <f>Tabla3[[#This Row],[INGRESOS]]/Tabla3[[#This Row],[TC]]</f>
        <v>0</v>
      </c>
      <c r="L546" s="8" t="s">
        <v>303</v>
      </c>
      <c r="M546" s="8" t="s">
        <v>304</v>
      </c>
      <c r="N546" s="8" t="s">
        <v>28</v>
      </c>
      <c r="O546" s="8" t="s">
        <v>184</v>
      </c>
      <c r="P546" s="8" t="s">
        <v>187</v>
      </c>
      <c r="Q546" s="8" t="s">
        <v>188</v>
      </c>
      <c r="R546" s="8"/>
      <c r="S546" s="8"/>
      <c r="T546" s="8"/>
      <c r="U546" s="8" t="s">
        <v>261</v>
      </c>
      <c r="V546" s="8"/>
      <c r="W546" s="8" t="s">
        <v>306</v>
      </c>
      <c r="X546" s="8" t="s">
        <v>98</v>
      </c>
      <c r="Y546" s="8" t="s">
        <v>23</v>
      </c>
    </row>
    <row r="547" spans="1:25" hidden="1" x14ac:dyDescent="0.25">
      <c r="A547" s="283" t="s">
        <v>726</v>
      </c>
      <c r="B547" s="260">
        <v>45839</v>
      </c>
      <c r="C547" s="261" t="s">
        <v>436</v>
      </c>
      <c r="D547" s="261"/>
      <c r="E547" s="262">
        <v>288</v>
      </c>
      <c r="F547" s="262">
        <v>0</v>
      </c>
      <c r="G547" s="285">
        <f>Tabla3[[#This Row],[INGRESOS]]-Tabla3[[#This Row],[EGRESOS]]</f>
        <v>-288</v>
      </c>
      <c r="H547" s="135">
        <v>-296301.46000000002</v>
      </c>
      <c r="I547" s="135">
        <v>1140</v>
      </c>
      <c r="J547" s="136">
        <f>Tabla3[[#This Row],[EGRESOS]]/Tabla3[[#This Row],[TC]]</f>
        <v>0.25263157894736843</v>
      </c>
      <c r="K547" s="136">
        <f>Tabla3[[#This Row],[INGRESOS]]/Tabla3[[#This Row],[TC]]</f>
        <v>0</v>
      </c>
      <c r="L547" s="8" t="s">
        <v>303</v>
      </c>
      <c r="M547" s="8" t="s">
        <v>304</v>
      </c>
      <c r="N547" s="8" t="s">
        <v>28</v>
      </c>
      <c r="O547" s="8" t="s">
        <v>184</v>
      </c>
      <c r="P547" s="8" t="s">
        <v>187</v>
      </c>
      <c r="Q547" s="8" t="s">
        <v>188</v>
      </c>
      <c r="R547" s="8"/>
      <c r="S547" s="8"/>
      <c r="T547" s="8"/>
      <c r="U547" s="8" t="s">
        <v>261</v>
      </c>
      <c r="V547" s="8"/>
      <c r="W547" s="8" t="s">
        <v>306</v>
      </c>
      <c r="X547" s="8" t="s">
        <v>98</v>
      </c>
      <c r="Y547" s="8" t="s">
        <v>23</v>
      </c>
    </row>
    <row r="548" spans="1:25" hidden="1" x14ac:dyDescent="0.25">
      <c r="A548" s="283" t="s">
        <v>726</v>
      </c>
      <c r="B548" s="260">
        <v>45839</v>
      </c>
      <c r="C548" s="261" t="s">
        <v>955</v>
      </c>
      <c r="D548" s="261"/>
      <c r="E548" s="262">
        <v>4693.43</v>
      </c>
      <c r="F548" s="262">
        <v>0</v>
      </c>
      <c r="G548" s="285">
        <f>Tabla3[[#This Row],[INGRESOS]]-Tabla3[[#This Row],[EGRESOS]]</f>
        <v>-4693.43</v>
      </c>
      <c r="H548" s="135">
        <v>-300994.89</v>
      </c>
      <c r="I548" s="135">
        <v>1140</v>
      </c>
      <c r="J548" s="136">
        <f>Tabla3[[#This Row],[EGRESOS]]/Tabla3[[#This Row],[TC]]</f>
        <v>4.1170438596491232</v>
      </c>
      <c r="K548" s="136">
        <f>Tabla3[[#This Row],[INGRESOS]]/Tabla3[[#This Row],[TC]]</f>
        <v>0</v>
      </c>
      <c r="L548" s="8" t="s">
        <v>303</v>
      </c>
      <c r="M548" s="8" t="s">
        <v>304</v>
      </c>
      <c r="N548" s="8" t="s">
        <v>28</v>
      </c>
      <c r="O548" s="8" t="s">
        <v>184</v>
      </c>
      <c r="P548" s="8" t="s">
        <v>187</v>
      </c>
      <c r="Q548" s="8" t="s">
        <v>188</v>
      </c>
      <c r="R548" s="8"/>
      <c r="S548" s="8"/>
      <c r="T548" s="8"/>
      <c r="U548" s="8" t="s">
        <v>261</v>
      </c>
      <c r="V548" s="8"/>
      <c r="W548" s="8" t="s">
        <v>306</v>
      </c>
      <c r="X548" s="8" t="s">
        <v>98</v>
      </c>
      <c r="Y548" s="8" t="s">
        <v>23</v>
      </c>
    </row>
    <row r="549" spans="1:25" hidden="1" x14ac:dyDescent="0.25">
      <c r="A549" s="283" t="s">
        <v>726</v>
      </c>
      <c r="B549" s="260">
        <v>45839</v>
      </c>
      <c r="C549" s="261" t="s">
        <v>438</v>
      </c>
      <c r="D549" s="261"/>
      <c r="E549" s="262">
        <v>456.7</v>
      </c>
      <c r="F549" s="262">
        <v>0</v>
      </c>
      <c r="G549" s="285">
        <f>Tabla3[[#This Row],[INGRESOS]]-Tabla3[[#This Row],[EGRESOS]]</f>
        <v>-456.7</v>
      </c>
      <c r="H549" s="135">
        <v>-301451.59000000003</v>
      </c>
      <c r="I549" s="135">
        <v>1140</v>
      </c>
      <c r="J549" s="136">
        <f>Tabla3[[#This Row],[EGRESOS]]/Tabla3[[#This Row],[TC]]</f>
        <v>0.40061403508771931</v>
      </c>
      <c r="K549" s="136">
        <f>Tabla3[[#This Row],[INGRESOS]]/Tabla3[[#This Row],[TC]]</f>
        <v>0</v>
      </c>
      <c r="L549" s="8" t="s">
        <v>303</v>
      </c>
      <c r="M549" s="8" t="s">
        <v>304</v>
      </c>
      <c r="N549" s="8" t="s">
        <v>28</v>
      </c>
      <c r="O549" s="8" t="s">
        <v>184</v>
      </c>
      <c r="P549" s="8" t="s">
        <v>187</v>
      </c>
      <c r="Q549" s="8" t="s">
        <v>188</v>
      </c>
      <c r="R549" s="8" t="s">
        <v>317</v>
      </c>
      <c r="S549" s="8"/>
      <c r="T549" s="8"/>
      <c r="U549" s="8" t="s">
        <v>261</v>
      </c>
      <c r="V549" s="8"/>
      <c r="W549" s="8" t="s">
        <v>306</v>
      </c>
      <c r="X549" s="8" t="s">
        <v>98</v>
      </c>
      <c r="Y549" s="8" t="s">
        <v>23</v>
      </c>
    </row>
    <row r="550" spans="1:25" hidden="1" x14ac:dyDescent="0.25">
      <c r="A550" s="283" t="s">
        <v>726</v>
      </c>
      <c r="B550" s="260">
        <v>45839</v>
      </c>
      <c r="C550" s="261" t="s">
        <v>439</v>
      </c>
      <c r="D550" s="261"/>
      <c r="E550" s="262">
        <v>161538.82999999999</v>
      </c>
      <c r="F550" s="262">
        <v>0</v>
      </c>
      <c r="G550" s="285">
        <f>Tabla3[[#This Row],[INGRESOS]]-Tabla3[[#This Row],[EGRESOS]]</f>
        <v>-161538.82999999999</v>
      </c>
      <c r="H550" s="135">
        <v>-462990.42</v>
      </c>
      <c r="I550" s="135">
        <v>1140</v>
      </c>
      <c r="J550" s="136">
        <f>Tabla3[[#This Row],[EGRESOS]]/Tabla3[[#This Row],[TC]]</f>
        <v>141.70072807017542</v>
      </c>
      <c r="K550" s="136">
        <f>Tabla3[[#This Row],[INGRESOS]]/Tabla3[[#This Row],[TC]]</f>
        <v>0</v>
      </c>
      <c r="L550" s="8" t="s">
        <v>303</v>
      </c>
      <c r="M550" s="8" t="s">
        <v>304</v>
      </c>
      <c r="N550" s="8" t="s">
        <v>28</v>
      </c>
      <c r="O550" s="8" t="s">
        <v>184</v>
      </c>
      <c r="P550" s="8" t="s">
        <v>189</v>
      </c>
      <c r="Q550" s="8" t="s">
        <v>190</v>
      </c>
      <c r="R550" s="8"/>
      <c r="S550" s="8"/>
      <c r="T550" s="8"/>
      <c r="U550" s="8" t="s">
        <v>261</v>
      </c>
      <c r="V550" s="8"/>
      <c r="W550" s="8" t="s">
        <v>306</v>
      </c>
      <c r="X550" s="8" t="s">
        <v>98</v>
      </c>
      <c r="Y550" s="8" t="s">
        <v>23</v>
      </c>
    </row>
    <row r="551" spans="1:25" hidden="1" x14ac:dyDescent="0.25">
      <c r="A551" s="283" t="s">
        <v>726</v>
      </c>
      <c r="B551" s="260">
        <v>45839</v>
      </c>
      <c r="C551" s="261" t="s">
        <v>381</v>
      </c>
      <c r="D551" s="261"/>
      <c r="E551" s="262">
        <v>3653.63</v>
      </c>
      <c r="F551" s="262">
        <v>0</v>
      </c>
      <c r="G551" s="285">
        <f>Tabla3[[#This Row],[INGRESOS]]-Tabla3[[#This Row],[EGRESOS]]</f>
        <v>-3653.63</v>
      </c>
      <c r="H551" s="135">
        <v>-466644.05</v>
      </c>
      <c r="I551" s="135">
        <v>1140</v>
      </c>
      <c r="J551" s="136">
        <f>Tabla3[[#This Row],[EGRESOS]]/Tabla3[[#This Row],[TC]]</f>
        <v>3.2049385964912283</v>
      </c>
      <c r="K551" s="136">
        <f>Tabla3[[#This Row],[INGRESOS]]/Tabla3[[#This Row],[TC]]</f>
        <v>0</v>
      </c>
      <c r="L551" s="8" t="s">
        <v>303</v>
      </c>
      <c r="M551" s="8" t="s">
        <v>304</v>
      </c>
      <c r="N551" s="8" t="s">
        <v>28</v>
      </c>
      <c r="O551" s="8" t="s">
        <v>184</v>
      </c>
      <c r="P551" s="8" t="s">
        <v>187</v>
      </c>
      <c r="Q551" s="8" t="s">
        <v>188</v>
      </c>
      <c r="R551" s="8" t="s">
        <v>339</v>
      </c>
      <c r="S551" s="8"/>
      <c r="T551" s="8"/>
      <c r="U551" s="8" t="s">
        <v>261</v>
      </c>
      <c r="V551" s="8"/>
      <c r="W551" s="8" t="s">
        <v>306</v>
      </c>
      <c r="X551" s="8" t="s">
        <v>98</v>
      </c>
      <c r="Y551" s="8" t="s">
        <v>23</v>
      </c>
    </row>
    <row r="552" spans="1:25" hidden="1" x14ac:dyDescent="0.25">
      <c r="A552" s="283" t="s">
        <v>726</v>
      </c>
      <c r="B552" s="260">
        <v>45839</v>
      </c>
      <c r="C552" s="261" t="s">
        <v>232</v>
      </c>
      <c r="D552" s="261"/>
      <c r="E552" s="262">
        <v>16961.580000000002</v>
      </c>
      <c r="F552" s="262">
        <v>0</v>
      </c>
      <c r="G552" s="285">
        <f>Tabla3[[#This Row],[INGRESOS]]-Tabla3[[#This Row],[EGRESOS]]</f>
        <v>-16961.580000000002</v>
      </c>
      <c r="H552" s="135">
        <v>-483605.63</v>
      </c>
      <c r="I552" s="135">
        <v>1140</v>
      </c>
      <c r="J552" s="136">
        <f>Tabla3[[#This Row],[EGRESOS]]/Tabla3[[#This Row],[TC]]</f>
        <v>14.878578947368423</v>
      </c>
      <c r="K552" s="136">
        <f>Tabla3[[#This Row],[INGRESOS]]/Tabla3[[#This Row],[TC]]</f>
        <v>0</v>
      </c>
      <c r="L552" s="8" t="s">
        <v>303</v>
      </c>
      <c r="M552" s="8" t="s">
        <v>304</v>
      </c>
      <c r="N552" s="8" t="s">
        <v>28</v>
      </c>
      <c r="O552" s="8" t="s">
        <v>184</v>
      </c>
      <c r="P552" s="8" t="s">
        <v>187</v>
      </c>
      <c r="Q552" s="8" t="s">
        <v>188</v>
      </c>
      <c r="R552" s="8" t="s">
        <v>308</v>
      </c>
      <c r="S552" s="8"/>
      <c r="T552" s="8"/>
      <c r="U552" s="8" t="s">
        <v>261</v>
      </c>
      <c r="V552" s="8"/>
      <c r="W552" s="8" t="s">
        <v>306</v>
      </c>
      <c r="X552" s="8" t="s">
        <v>98</v>
      </c>
      <c r="Y552" s="8" t="s">
        <v>23</v>
      </c>
    </row>
    <row r="553" spans="1:25" hidden="1" x14ac:dyDescent="0.25">
      <c r="A553" s="283" t="s">
        <v>726</v>
      </c>
      <c r="B553" s="260">
        <v>45839</v>
      </c>
      <c r="C553" s="261" t="s">
        <v>436</v>
      </c>
      <c r="D553" s="261"/>
      <c r="E553" s="262">
        <v>2423.08</v>
      </c>
      <c r="F553" s="262">
        <v>0</v>
      </c>
      <c r="G553" s="285">
        <f>Tabla3[[#This Row],[INGRESOS]]-Tabla3[[#This Row],[EGRESOS]]</f>
        <v>-2423.08</v>
      </c>
      <c r="H553" s="135">
        <v>-486028.71</v>
      </c>
      <c r="I553" s="135">
        <v>1140</v>
      </c>
      <c r="J553" s="136">
        <f>Tabla3[[#This Row],[EGRESOS]]/Tabla3[[#This Row],[TC]]</f>
        <v>2.1255087719298245</v>
      </c>
      <c r="K553" s="136">
        <f>Tabla3[[#This Row],[INGRESOS]]/Tabla3[[#This Row],[TC]]</f>
        <v>0</v>
      </c>
      <c r="L553" s="8" t="s">
        <v>303</v>
      </c>
      <c r="M553" s="8" t="s">
        <v>304</v>
      </c>
      <c r="N553" s="8" t="s">
        <v>28</v>
      </c>
      <c r="O553" s="8" t="s">
        <v>184</v>
      </c>
      <c r="P553" s="8" t="s">
        <v>187</v>
      </c>
      <c r="Q553" s="8" t="s">
        <v>188</v>
      </c>
      <c r="R553" s="8" t="s">
        <v>475</v>
      </c>
      <c r="S553" s="8"/>
      <c r="T553" s="8"/>
      <c r="U553" s="8" t="s">
        <v>261</v>
      </c>
      <c r="V553" s="8"/>
      <c r="W553" s="8" t="s">
        <v>306</v>
      </c>
      <c r="X553" s="8" t="s">
        <v>98</v>
      </c>
      <c r="Y553" s="8" t="s">
        <v>23</v>
      </c>
    </row>
    <row r="554" spans="1:25" hidden="1" x14ac:dyDescent="0.25">
      <c r="A554" s="283" t="s">
        <v>726</v>
      </c>
      <c r="B554" s="260">
        <v>45839</v>
      </c>
      <c r="C554" s="261" t="s">
        <v>438</v>
      </c>
      <c r="D554" s="261"/>
      <c r="E554" s="262">
        <v>1107.46</v>
      </c>
      <c r="F554" s="262">
        <v>0</v>
      </c>
      <c r="G554" s="285">
        <f>Tabla3[[#This Row],[INGRESOS]]-Tabla3[[#This Row],[EGRESOS]]</f>
        <v>-1107.46</v>
      </c>
      <c r="H554" s="135">
        <v>-487136.17</v>
      </c>
      <c r="I554" s="135">
        <v>1140</v>
      </c>
      <c r="J554" s="136">
        <f>Tabla3[[#This Row],[EGRESOS]]/Tabla3[[#This Row],[TC]]</f>
        <v>0.97145614035087724</v>
      </c>
      <c r="K554" s="136">
        <f>Tabla3[[#This Row],[INGRESOS]]/Tabla3[[#This Row],[TC]]</f>
        <v>0</v>
      </c>
      <c r="L554" s="8" t="s">
        <v>303</v>
      </c>
      <c r="M554" s="8" t="s">
        <v>304</v>
      </c>
      <c r="N554" s="8" t="s">
        <v>28</v>
      </c>
      <c r="O554" s="8" t="s">
        <v>184</v>
      </c>
      <c r="P554" s="8" t="s">
        <v>187</v>
      </c>
      <c r="Q554" s="8" t="s">
        <v>188</v>
      </c>
      <c r="R554" s="8" t="s">
        <v>317</v>
      </c>
      <c r="S554" s="8"/>
      <c r="T554" s="8"/>
      <c r="U554" s="8" t="s">
        <v>261</v>
      </c>
      <c r="V554" s="8"/>
      <c r="W554" s="8" t="s">
        <v>306</v>
      </c>
      <c r="X554" s="8" t="s">
        <v>98</v>
      </c>
      <c r="Y554" s="8" t="s">
        <v>23</v>
      </c>
    </row>
    <row r="555" spans="1:25" hidden="1" x14ac:dyDescent="0.25">
      <c r="A555" s="283" t="s">
        <v>726</v>
      </c>
      <c r="B555" s="260">
        <v>45840</v>
      </c>
      <c r="C555" s="261" t="s">
        <v>453</v>
      </c>
      <c r="D555" s="261" t="s">
        <v>956</v>
      </c>
      <c r="E555" s="262">
        <v>1473622.75</v>
      </c>
      <c r="F555" s="262">
        <v>0</v>
      </c>
      <c r="G555" s="285">
        <f>Tabla3[[#This Row],[INGRESOS]]-Tabla3[[#This Row],[EGRESOS]]</f>
        <v>-1473622.75</v>
      </c>
      <c r="H555" s="135">
        <v>-1960758.92</v>
      </c>
      <c r="I555" s="135">
        <v>1140</v>
      </c>
      <c r="J555" s="136">
        <f>Tabla3[[#This Row],[EGRESOS]]/Tabla3[[#This Row],[TC]]</f>
        <v>1292.6515350877194</v>
      </c>
      <c r="K555" s="136">
        <f>Tabla3[[#This Row],[INGRESOS]]/Tabla3[[#This Row],[TC]]</f>
        <v>0</v>
      </c>
      <c r="L555" s="8" t="s">
        <v>303</v>
      </c>
      <c r="M555" s="8" t="s">
        <v>304</v>
      </c>
      <c r="N555" s="8" t="s">
        <v>28</v>
      </c>
      <c r="O555" s="8" t="s">
        <v>197</v>
      </c>
      <c r="P555" s="8" t="s">
        <v>198</v>
      </c>
      <c r="Q555" s="8" t="s">
        <v>201</v>
      </c>
      <c r="R555" s="8" t="s">
        <v>203</v>
      </c>
      <c r="S555" s="8" t="s">
        <v>526</v>
      </c>
      <c r="T555" s="8" t="s">
        <v>957</v>
      </c>
      <c r="U555" s="8" t="s">
        <v>258</v>
      </c>
      <c r="V555" s="8"/>
      <c r="W555" s="8" t="s">
        <v>392</v>
      </c>
      <c r="X555" s="8" t="s">
        <v>29</v>
      </c>
      <c r="Y555" s="8" t="s">
        <v>23</v>
      </c>
    </row>
    <row r="556" spans="1:25" hidden="1" x14ac:dyDescent="0.25">
      <c r="A556" s="283" t="s">
        <v>726</v>
      </c>
      <c r="B556" s="260">
        <v>45840</v>
      </c>
      <c r="C556" s="261" t="s">
        <v>470</v>
      </c>
      <c r="D556" s="261"/>
      <c r="E556" s="262">
        <v>0</v>
      </c>
      <c r="F556" s="262">
        <v>2000000</v>
      </c>
      <c r="G556" s="285">
        <f>Tabla3[[#This Row],[INGRESOS]]-Tabla3[[#This Row],[EGRESOS]]</f>
        <v>2000000</v>
      </c>
      <c r="H556" s="135">
        <v>39241.08</v>
      </c>
      <c r="I556" s="135">
        <v>1140</v>
      </c>
      <c r="J556" s="136">
        <f>Tabla3[[#This Row],[EGRESOS]]/Tabla3[[#This Row],[TC]]</f>
        <v>0</v>
      </c>
      <c r="K556" s="136">
        <f>Tabla3[[#This Row],[INGRESOS]]/Tabla3[[#This Row],[TC]]</f>
        <v>1754.3859649122808</v>
      </c>
      <c r="L556" s="8" t="s">
        <v>303</v>
      </c>
      <c r="M556" s="8" t="s">
        <v>304</v>
      </c>
      <c r="N556" s="8" t="s">
        <v>28</v>
      </c>
      <c r="O556" s="8" t="s">
        <v>214</v>
      </c>
      <c r="P556" s="8" t="s">
        <v>216</v>
      </c>
      <c r="Q556" s="8" t="s">
        <v>217</v>
      </c>
      <c r="R556" s="8" t="s">
        <v>388</v>
      </c>
      <c r="S556" s="8"/>
      <c r="T556" s="8"/>
      <c r="U556" s="8" t="s">
        <v>262</v>
      </c>
      <c r="V556" s="8"/>
      <c r="W556" s="8" t="s">
        <v>306</v>
      </c>
      <c r="X556" s="8"/>
      <c r="Y556" s="8"/>
    </row>
    <row r="557" spans="1:25" hidden="1" x14ac:dyDescent="0.25">
      <c r="A557" s="283" t="s">
        <v>726</v>
      </c>
      <c r="B557" s="260">
        <v>45840</v>
      </c>
      <c r="C557" s="261" t="s">
        <v>438</v>
      </c>
      <c r="D557" s="261"/>
      <c r="E557" s="262">
        <v>8841.74</v>
      </c>
      <c r="F557" s="262">
        <v>0</v>
      </c>
      <c r="G557" s="285">
        <f>Tabla3[[#This Row],[INGRESOS]]-Tabla3[[#This Row],[EGRESOS]]</f>
        <v>-8841.74</v>
      </c>
      <c r="H557" s="135">
        <v>30399.34</v>
      </c>
      <c r="I557" s="135">
        <v>1140</v>
      </c>
      <c r="J557" s="136">
        <f>Tabla3[[#This Row],[EGRESOS]]/Tabla3[[#This Row],[TC]]</f>
        <v>7.7559122807017538</v>
      </c>
      <c r="K557" s="136">
        <f>Tabla3[[#This Row],[INGRESOS]]/Tabla3[[#This Row],[TC]]</f>
        <v>0</v>
      </c>
      <c r="L557" s="8" t="s">
        <v>303</v>
      </c>
      <c r="M557" s="8" t="s">
        <v>304</v>
      </c>
      <c r="N557" s="8" t="s">
        <v>28</v>
      </c>
      <c r="O557" s="8" t="s">
        <v>184</v>
      </c>
      <c r="P557" s="8" t="s">
        <v>187</v>
      </c>
      <c r="Q557" s="8" t="s">
        <v>188</v>
      </c>
      <c r="R557" s="8" t="s">
        <v>317</v>
      </c>
      <c r="S557" s="8"/>
      <c r="T557" s="8"/>
      <c r="U557" s="8" t="s">
        <v>261</v>
      </c>
      <c r="V557" s="8"/>
      <c r="W557" s="8" t="s">
        <v>306</v>
      </c>
      <c r="X557" s="8" t="s">
        <v>98</v>
      </c>
      <c r="Y557" s="8" t="s">
        <v>23</v>
      </c>
    </row>
    <row r="558" spans="1:25" hidden="1" x14ac:dyDescent="0.25">
      <c r="A558" s="283" t="s">
        <v>726</v>
      </c>
      <c r="B558" s="260">
        <v>45845</v>
      </c>
      <c r="C558" s="261" t="s">
        <v>470</v>
      </c>
      <c r="D558" s="261"/>
      <c r="E558" s="262">
        <v>0</v>
      </c>
      <c r="F558" s="262">
        <v>60000000</v>
      </c>
      <c r="G558" s="285">
        <f>Tabla3[[#This Row],[INGRESOS]]-Tabla3[[#This Row],[EGRESOS]]</f>
        <v>60000000</v>
      </c>
      <c r="H558" s="135">
        <v>60030399.340000004</v>
      </c>
      <c r="I558" s="135">
        <v>1140</v>
      </c>
      <c r="J558" s="136">
        <f>Tabla3[[#This Row],[EGRESOS]]/Tabla3[[#This Row],[TC]]</f>
        <v>0</v>
      </c>
      <c r="K558" s="136">
        <f>Tabla3[[#This Row],[INGRESOS]]/Tabla3[[#This Row],[TC]]</f>
        <v>52631.57894736842</v>
      </c>
      <c r="L558" s="8" t="s">
        <v>303</v>
      </c>
      <c r="M558" s="8" t="s">
        <v>304</v>
      </c>
      <c r="N558" s="8" t="s">
        <v>28</v>
      </c>
      <c r="O558" s="8" t="s">
        <v>214</v>
      </c>
      <c r="P558" s="8" t="s">
        <v>216</v>
      </c>
      <c r="Q558" s="8" t="s">
        <v>217</v>
      </c>
      <c r="R558" s="8" t="s">
        <v>388</v>
      </c>
      <c r="S558" s="8"/>
      <c r="T558" s="8"/>
      <c r="U558" s="8" t="s">
        <v>262</v>
      </c>
      <c r="V558" s="8"/>
      <c r="W558" s="8"/>
      <c r="X558" s="8"/>
      <c r="Y558" s="8"/>
    </row>
    <row r="559" spans="1:25" hidden="1" x14ac:dyDescent="0.25">
      <c r="A559" s="283" t="s">
        <v>726</v>
      </c>
      <c r="B559" s="260">
        <v>45845</v>
      </c>
      <c r="C559" s="261" t="s">
        <v>440</v>
      </c>
      <c r="D559" s="261"/>
      <c r="E559" s="262">
        <v>60000000</v>
      </c>
      <c r="F559" s="262">
        <v>0</v>
      </c>
      <c r="G559" s="285">
        <f>Tabla3[[#This Row],[INGRESOS]]-Tabla3[[#This Row],[EGRESOS]]</f>
        <v>-60000000</v>
      </c>
      <c r="H559" s="135">
        <v>30399.34</v>
      </c>
      <c r="I559" s="135">
        <v>1140</v>
      </c>
      <c r="J559" s="136">
        <f>Tabla3[[#This Row],[EGRESOS]]/Tabla3[[#This Row],[TC]]</f>
        <v>52631.57894736842</v>
      </c>
      <c r="K559" s="136">
        <f>Tabla3[[#This Row],[INGRESOS]]/Tabla3[[#This Row],[TC]]</f>
        <v>0</v>
      </c>
      <c r="L559" s="8" t="s">
        <v>303</v>
      </c>
      <c r="M559" s="8" t="s">
        <v>304</v>
      </c>
      <c r="N559" s="8" t="s">
        <v>28</v>
      </c>
      <c r="O559" s="8" t="s">
        <v>742</v>
      </c>
      <c r="P559" s="8" t="s">
        <v>1070</v>
      </c>
      <c r="Q559" s="8" t="s">
        <v>986</v>
      </c>
      <c r="S559" s="8" t="s">
        <v>966</v>
      </c>
      <c r="T559" s="8"/>
      <c r="U559" s="8" t="s">
        <v>929</v>
      </c>
      <c r="V559" s="8"/>
      <c r="W559" s="8" t="s">
        <v>306</v>
      </c>
      <c r="X559" s="8" t="s">
        <v>98</v>
      </c>
      <c r="Y559" s="8" t="s">
        <v>23</v>
      </c>
    </row>
    <row r="560" spans="1:25" hidden="1" x14ac:dyDescent="0.25">
      <c r="A560" s="283" t="s">
        <v>726</v>
      </c>
      <c r="B560" s="260">
        <v>45845</v>
      </c>
      <c r="C560" s="261" t="s">
        <v>438</v>
      </c>
      <c r="D560" s="261"/>
      <c r="E560" s="262">
        <v>360000</v>
      </c>
      <c r="F560" s="262">
        <v>0</v>
      </c>
      <c r="G560" s="285">
        <f>Tabla3[[#This Row],[INGRESOS]]-Tabla3[[#This Row],[EGRESOS]]</f>
        <v>-360000</v>
      </c>
      <c r="H560" s="135">
        <v>-329600.65999999997</v>
      </c>
      <c r="I560" s="135">
        <v>1140</v>
      </c>
      <c r="J560" s="136">
        <f>Tabla3[[#This Row],[EGRESOS]]/Tabla3[[#This Row],[TC]]</f>
        <v>315.78947368421052</v>
      </c>
      <c r="K560" s="136">
        <f>Tabla3[[#This Row],[INGRESOS]]/Tabla3[[#This Row],[TC]]</f>
        <v>0</v>
      </c>
      <c r="L560" s="8" t="s">
        <v>303</v>
      </c>
      <c r="M560" s="8" t="s">
        <v>304</v>
      </c>
      <c r="N560" s="8" t="s">
        <v>28</v>
      </c>
      <c r="O560" s="8" t="s">
        <v>184</v>
      </c>
      <c r="P560" s="8" t="s">
        <v>187</v>
      </c>
      <c r="Q560" s="8" t="s">
        <v>188</v>
      </c>
      <c r="R560" s="8" t="s">
        <v>317</v>
      </c>
      <c r="S560" s="8"/>
      <c r="T560" s="8"/>
      <c r="U560" s="8" t="s">
        <v>261</v>
      </c>
      <c r="V560" s="8"/>
      <c r="W560" s="8" t="s">
        <v>306</v>
      </c>
      <c r="X560" s="8" t="s">
        <v>98</v>
      </c>
      <c r="Y560" s="8" t="s">
        <v>23</v>
      </c>
    </row>
    <row r="561" spans="1:25" hidden="1" x14ac:dyDescent="0.25">
      <c r="A561" s="283" t="s">
        <v>726</v>
      </c>
      <c r="B561" s="260">
        <v>45849</v>
      </c>
      <c r="C561" s="261" t="s">
        <v>453</v>
      </c>
      <c r="D561" s="261" t="s">
        <v>978</v>
      </c>
      <c r="E561" s="262">
        <v>1253833.94</v>
      </c>
      <c r="F561" s="262">
        <v>0</v>
      </c>
      <c r="G561" s="285">
        <f>Tabla3[[#This Row],[INGRESOS]]-Tabla3[[#This Row],[EGRESOS]]</f>
        <v>-1253833.94</v>
      </c>
      <c r="H561" s="135">
        <v>-1583434.6</v>
      </c>
      <c r="I561" s="135">
        <v>1140</v>
      </c>
      <c r="J561" s="136">
        <f>Tabla3[[#This Row],[EGRESOS]]/Tabla3[[#This Row],[TC]]</f>
        <v>1099.8543333333332</v>
      </c>
      <c r="K561" s="136">
        <f>Tabla3[[#This Row],[INGRESOS]]/Tabla3[[#This Row],[TC]]</f>
        <v>0</v>
      </c>
      <c r="L561" s="8" t="s">
        <v>303</v>
      </c>
      <c r="M561" s="8" t="s">
        <v>304</v>
      </c>
      <c r="N561" s="8" t="s">
        <v>28</v>
      </c>
      <c r="O561" s="8" t="s">
        <v>197</v>
      </c>
      <c r="P561" s="8" t="s">
        <v>238</v>
      </c>
      <c r="Q561" s="8" t="s">
        <v>239</v>
      </c>
      <c r="R561" s="8" t="s">
        <v>501</v>
      </c>
      <c r="S561" s="8" t="s">
        <v>502</v>
      </c>
      <c r="T561" s="8" t="s">
        <v>834</v>
      </c>
      <c r="U561" s="8" t="s">
        <v>258</v>
      </c>
      <c r="V561" s="8"/>
      <c r="W561" s="8" t="s">
        <v>392</v>
      </c>
      <c r="X561" s="8" t="s">
        <v>29</v>
      </c>
      <c r="Y561" s="8" t="s">
        <v>23</v>
      </c>
    </row>
    <row r="562" spans="1:25" hidden="1" x14ac:dyDescent="0.25">
      <c r="A562" s="283" t="s">
        <v>726</v>
      </c>
      <c r="B562" s="260">
        <v>45849</v>
      </c>
      <c r="C562" s="261" t="s">
        <v>438</v>
      </c>
      <c r="D562" s="261"/>
      <c r="E562" s="262">
        <v>7523</v>
      </c>
      <c r="F562" s="262">
        <v>0</v>
      </c>
      <c r="G562" s="285">
        <f>Tabla3[[#This Row],[INGRESOS]]-Tabla3[[#This Row],[EGRESOS]]</f>
        <v>-7523</v>
      </c>
      <c r="H562" s="135">
        <v>-1590957.6</v>
      </c>
      <c r="I562" s="135">
        <v>1140</v>
      </c>
      <c r="J562" s="136">
        <f>Tabla3[[#This Row],[EGRESOS]]/Tabla3[[#This Row],[TC]]</f>
        <v>6.5991228070175438</v>
      </c>
      <c r="K562" s="136">
        <f>Tabla3[[#This Row],[INGRESOS]]/Tabla3[[#This Row],[TC]]</f>
        <v>0</v>
      </c>
      <c r="L562" s="8" t="s">
        <v>303</v>
      </c>
      <c r="M562" s="8" t="s">
        <v>304</v>
      </c>
      <c r="N562" s="8" t="s">
        <v>28</v>
      </c>
      <c r="O562" s="8" t="s">
        <v>184</v>
      </c>
      <c r="P562" s="8" t="s">
        <v>187</v>
      </c>
      <c r="Q562" s="8" t="s">
        <v>188</v>
      </c>
      <c r="R562" s="8" t="s">
        <v>317</v>
      </c>
      <c r="S562" s="8"/>
      <c r="T562" s="8"/>
      <c r="U562" s="8" t="s">
        <v>261</v>
      </c>
      <c r="V562" s="8"/>
      <c r="W562" s="8" t="s">
        <v>306</v>
      </c>
      <c r="X562" s="8" t="s">
        <v>98</v>
      </c>
      <c r="Y562" s="8" t="s">
        <v>23</v>
      </c>
    </row>
    <row r="563" spans="1:25" hidden="1" x14ac:dyDescent="0.25">
      <c r="A563" s="283" t="s">
        <v>726</v>
      </c>
      <c r="B563" s="260">
        <v>45853</v>
      </c>
      <c r="C563" s="261" t="s">
        <v>470</v>
      </c>
      <c r="D563" s="261"/>
      <c r="E563" s="262">
        <v>0</v>
      </c>
      <c r="F563" s="262">
        <v>25000000</v>
      </c>
      <c r="G563" s="285">
        <f>Tabla3[[#This Row],[INGRESOS]]-Tabla3[[#This Row],[EGRESOS]]</f>
        <v>25000000</v>
      </c>
      <c r="H563" s="135">
        <v>23409042.399999999</v>
      </c>
      <c r="I563" s="135">
        <v>1140</v>
      </c>
      <c r="J563" s="136">
        <f>Tabla3[[#This Row],[EGRESOS]]/Tabla3[[#This Row],[TC]]</f>
        <v>0</v>
      </c>
      <c r="K563" s="136">
        <f>Tabla3[[#This Row],[INGRESOS]]/Tabla3[[#This Row],[TC]]</f>
        <v>21929.824561403508</v>
      </c>
      <c r="L563" s="8" t="s">
        <v>303</v>
      </c>
      <c r="M563" s="8" t="s">
        <v>304</v>
      </c>
      <c r="N563" s="8" t="s">
        <v>28</v>
      </c>
      <c r="O563" s="8" t="s">
        <v>214</v>
      </c>
      <c r="P563" s="8" t="s">
        <v>216</v>
      </c>
      <c r="Q563" s="8" t="s">
        <v>217</v>
      </c>
      <c r="R563" s="8" t="s">
        <v>388</v>
      </c>
      <c r="S563" s="8"/>
      <c r="T563" s="8"/>
      <c r="U563" s="8" t="s">
        <v>262</v>
      </c>
      <c r="V563" s="8"/>
      <c r="W563" s="8"/>
      <c r="X563" s="8"/>
      <c r="Y563" s="8"/>
    </row>
    <row r="564" spans="1:25" hidden="1" x14ac:dyDescent="0.25">
      <c r="A564" s="283" t="s">
        <v>726</v>
      </c>
      <c r="B564" s="260">
        <v>45853</v>
      </c>
      <c r="C564" s="261" t="s">
        <v>440</v>
      </c>
      <c r="D564" s="261"/>
      <c r="E564" s="262">
        <v>23285264.399999999</v>
      </c>
      <c r="F564" s="262">
        <v>0</v>
      </c>
      <c r="G564" s="285">
        <f>Tabla3[[#This Row],[INGRESOS]]-Tabla3[[#This Row],[EGRESOS]]</f>
        <v>-23285264.399999999</v>
      </c>
      <c r="H564" s="135">
        <v>123778</v>
      </c>
      <c r="I564" s="135">
        <v>1140</v>
      </c>
      <c r="J564" s="136">
        <f>Tabla3[[#This Row],[EGRESOS]]/Tabla3[[#This Row],[TC]]</f>
        <v>20425.670526315789</v>
      </c>
      <c r="K564" s="136">
        <f>Tabla3[[#This Row],[INGRESOS]]/Tabla3[[#This Row],[TC]]</f>
        <v>0</v>
      </c>
      <c r="L564" s="8" t="s">
        <v>303</v>
      </c>
      <c r="M564" s="8" t="s">
        <v>304</v>
      </c>
      <c r="N564" s="8" t="s">
        <v>28</v>
      </c>
      <c r="O564" s="8" t="s">
        <v>742</v>
      </c>
      <c r="P564" s="8" t="s">
        <v>1070</v>
      </c>
      <c r="Q564" s="8" t="s">
        <v>986</v>
      </c>
      <c r="S564" s="8" t="s">
        <v>966</v>
      </c>
      <c r="T564" s="8"/>
      <c r="U564" s="8" t="s">
        <v>929</v>
      </c>
      <c r="V564" s="8"/>
      <c r="W564" s="8" t="s">
        <v>306</v>
      </c>
      <c r="X564" s="8" t="s">
        <v>98</v>
      </c>
      <c r="Y564" s="8" t="s">
        <v>23</v>
      </c>
    </row>
    <row r="565" spans="1:25" hidden="1" x14ac:dyDescent="0.25">
      <c r="A565" s="283" t="s">
        <v>726</v>
      </c>
      <c r="B565" s="260">
        <v>45853</v>
      </c>
      <c r="C565" s="261" t="s">
        <v>438</v>
      </c>
      <c r="D565" s="261"/>
      <c r="E565" s="262">
        <v>139711.59</v>
      </c>
      <c r="F565" s="262">
        <v>0</v>
      </c>
      <c r="G565" s="285">
        <f>Tabla3[[#This Row],[INGRESOS]]-Tabla3[[#This Row],[EGRESOS]]</f>
        <v>-139711.59</v>
      </c>
      <c r="H565" s="135">
        <v>-15933.59</v>
      </c>
      <c r="I565" s="135">
        <v>1140</v>
      </c>
      <c r="J565" s="136">
        <f>Tabla3[[#This Row],[EGRESOS]]/Tabla3[[#This Row],[TC]]</f>
        <v>122.55402631578947</v>
      </c>
      <c r="K565" s="136">
        <f>Tabla3[[#This Row],[INGRESOS]]/Tabla3[[#This Row],[TC]]</f>
        <v>0</v>
      </c>
      <c r="L565" s="8" t="s">
        <v>303</v>
      </c>
      <c r="M565" s="8" t="s">
        <v>304</v>
      </c>
      <c r="N565" s="8" t="s">
        <v>28</v>
      </c>
      <c r="O565" s="8" t="s">
        <v>184</v>
      </c>
      <c r="P565" s="8" t="s">
        <v>187</v>
      </c>
      <c r="Q565" s="8" t="s">
        <v>188</v>
      </c>
      <c r="R565" s="8" t="s">
        <v>317</v>
      </c>
      <c r="S565" s="8"/>
      <c r="T565" s="8"/>
      <c r="U565" s="8" t="s">
        <v>261</v>
      </c>
      <c r="V565" s="8"/>
      <c r="W565" s="8" t="s">
        <v>306</v>
      </c>
      <c r="X565" s="8" t="s">
        <v>98</v>
      </c>
      <c r="Y565" s="8" t="s">
        <v>23</v>
      </c>
    </row>
    <row r="566" spans="1:25" hidden="1" x14ac:dyDescent="0.25">
      <c r="A566" s="283" t="s">
        <v>726</v>
      </c>
      <c r="B566" s="260">
        <v>45861</v>
      </c>
      <c r="C566" s="261" t="s">
        <v>901</v>
      </c>
      <c r="D566" s="261" t="s">
        <v>1020</v>
      </c>
      <c r="E566" s="262">
        <v>4000000</v>
      </c>
      <c r="F566" s="262">
        <v>0</v>
      </c>
      <c r="G566" s="285">
        <f>Tabla3[[#This Row],[INGRESOS]]-Tabla3[[#This Row],[EGRESOS]]</f>
        <v>-4000000</v>
      </c>
      <c r="H566" s="135">
        <v>-4015933.59</v>
      </c>
      <c r="I566" s="135">
        <v>1140</v>
      </c>
      <c r="J566" s="136">
        <f>Tabla3[[#This Row],[EGRESOS]]/Tabla3[[#This Row],[TC]]</f>
        <v>3508.7719298245615</v>
      </c>
      <c r="K566" s="136">
        <f>Tabla3[[#This Row],[INGRESOS]]/Tabla3[[#This Row],[TC]]</f>
        <v>0</v>
      </c>
      <c r="L566" s="8" t="s">
        <v>303</v>
      </c>
      <c r="M566" s="8" t="s">
        <v>304</v>
      </c>
      <c r="N566" s="8" t="s">
        <v>28</v>
      </c>
      <c r="O566" s="8" t="s">
        <v>197</v>
      </c>
      <c r="P566" s="8" t="s">
        <v>198</v>
      </c>
      <c r="Q566" s="8" t="s">
        <v>200</v>
      </c>
      <c r="R566" s="8" t="s">
        <v>1031</v>
      </c>
      <c r="S566" s="8" t="s">
        <v>903</v>
      </c>
      <c r="T566" s="8" t="s">
        <v>904</v>
      </c>
      <c r="U566" s="8" t="s">
        <v>258</v>
      </c>
      <c r="V566" s="8"/>
      <c r="W566" s="8" t="s">
        <v>306</v>
      </c>
      <c r="X566" s="8" t="s">
        <v>29</v>
      </c>
      <c r="Y566" s="8" t="s">
        <v>23</v>
      </c>
    </row>
    <row r="567" spans="1:25" hidden="1" x14ac:dyDescent="0.25">
      <c r="A567" s="283" t="s">
        <v>726</v>
      </c>
      <c r="B567" s="260">
        <v>45861</v>
      </c>
      <c r="C567" s="261" t="s">
        <v>470</v>
      </c>
      <c r="D567" s="261"/>
      <c r="E567" s="262">
        <v>0</v>
      </c>
      <c r="F567" s="262">
        <v>4100000</v>
      </c>
      <c r="G567" s="285">
        <f>Tabla3[[#This Row],[INGRESOS]]-Tabla3[[#This Row],[EGRESOS]]</f>
        <v>4100000</v>
      </c>
      <c r="H567" s="135">
        <v>84066.41</v>
      </c>
      <c r="I567" s="135">
        <v>1140</v>
      </c>
      <c r="J567" s="136">
        <f>Tabla3[[#This Row],[EGRESOS]]/Tabla3[[#This Row],[TC]]</f>
        <v>0</v>
      </c>
      <c r="K567" s="136">
        <f>Tabla3[[#This Row],[INGRESOS]]/Tabla3[[#This Row],[TC]]</f>
        <v>3596.4912280701756</v>
      </c>
      <c r="L567" s="8" t="s">
        <v>303</v>
      </c>
      <c r="M567" s="8" t="s">
        <v>304</v>
      </c>
      <c r="N567" s="8" t="s">
        <v>28</v>
      </c>
      <c r="O567" s="8" t="s">
        <v>214</v>
      </c>
      <c r="P567" s="8" t="s">
        <v>216</v>
      </c>
      <c r="Q567" s="8" t="s">
        <v>217</v>
      </c>
      <c r="R567" s="8" t="s">
        <v>388</v>
      </c>
      <c r="S567" s="8"/>
      <c r="T567" s="8"/>
      <c r="U567" s="8" t="s">
        <v>262</v>
      </c>
      <c r="V567" s="8"/>
      <c r="W567" s="8"/>
      <c r="X567" s="8"/>
      <c r="Y567" s="8"/>
    </row>
    <row r="568" spans="1:25" hidden="1" x14ac:dyDescent="0.25">
      <c r="A568" s="283" t="s">
        <v>726</v>
      </c>
      <c r="B568" s="260">
        <v>45861</v>
      </c>
      <c r="C568" s="261" t="s">
        <v>438</v>
      </c>
      <c r="D568" s="261"/>
      <c r="E568" s="262">
        <v>24000</v>
      </c>
      <c r="F568" s="262">
        <v>0</v>
      </c>
      <c r="G568" s="285">
        <f>Tabla3[[#This Row],[INGRESOS]]-Tabla3[[#This Row],[EGRESOS]]</f>
        <v>-24000</v>
      </c>
      <c r="H568" s="135">
        <v>60066.41</v>
      </c>
      <c r="I568" s="135">
        <v>1140</v>
      </c>
      <c r="J568" s="136">
        <f>Tabla3[[#This Row],[EGRESOS]]/Tabla3[[#This Row],[TC]]</f>
        <v>21.05263157894737</v>
      </c>
      <c r="K568" s="136">
        <f>Tabla3[[#This Row],[INGRESOS]]/Tabla3[[#This Row],[TC]]</f>
        <v>0</v>
      </c>
      <c r="L568" s="8" t="s">
        <v>303</v>
      </c>
      <c r="M568" s="8" t="s">
        <v>304</v>
      </c>
      <c r="N568" s="8" t="s">
        <v>28</v>
      </c>
      <c r="O568" s="8" t="s">
        <v>184</v>
      </c>
      <c r="P568" s="8" t="s">
        <v>187</v>
      </c>
      <c r="Q568" s="8" t="s">
        <v>188</v>
      </c>
      <c r="R568" s="8" t="s">
        <v>317</v>
      </c>
      <c r="S568" s="8"/>
      <c r="T568" s="8"/>
      <c r="U568" s="8" t="s">
        <v>261</v>
      </c>
      <c r="V568" s="8"/>
      <c r="W568" s="8" t="s">
        <v>306</v>
      </c>
      <c r="X568" s="8" t="s">
        <v>98</v>
      </c>
      <c r="Y568" s="8" t="s">
        <v>23</v>
      </c>
    </row>
    <row r="569" spans="1:25" hidden="1" x14ac:dyDescent="0.25">
      <c r="A569" s="277" t="s">
        <v>726</v>
      </c>
      <c r="B569" s="278">
        <v>45863</v>
      </c>
      <c r="C569" s="279" t="s">
        <v>901</v>
      </c>
      <c r="D569" s="279" t="s">
        <v>1030</v>
      </c>
      <c r="E569" s="262">
        <v>4184079.33</v>
      </c>
      <c r="F569" s="280">
        <v>0</v>
      </c>
      <c r="G569" s="353">
        <f>Tabla3[[#This Row],[INGRESOS]]-Tabla3[[#This Row],[EGRESOS]]</f>
        <v>-4184079.33</v>
      </c>
      <c r="H569" s="275">
        <v>-4124012.92</v>
      </c>
      <c r="I569" s="275">
        <v>1290</v>
      </c>
      <c r="J569" s="281">
        <f>Tabla3[[#This Row],[EGRESOS]]/Tabla3[[#This Row],[TC]]</f>
        <v>3243.4723488372092</v>
      </c>
      <c r="K569" s="281">
        <f>Tabla3[[#This Row],[INGRESOS]]/Tabla3[[#This Row],[TC]]</f>
        <v>0</v>
      </c>
      <c r="L569" s="282" t="s">
        <v>303</v>
      </c>
      <c r="M569" s="282" t="s">
        <v>304</v>
      </c>
      <c r="N569" s="282" t="s">
        <v>28</v>
      </c>
      <c r="O569" s="282" t="s">
        <v>197</v>
      </c>
      <c r="P569" s="282" t="s">
        <v>198</v>
      </c>
      <c r="Q569" s="282" t="s">
        <v>200</v>
      </c>
      <c r="R569" s="282" t="s">
        <v>1031</v>
      </c>
      <c r="S569" s="282" t="s">
        <v>903</v>
      </c>
      <c r="T569" s="282" t="s">
        <v>904</v>
      </c>
      <c r="U569" s="282" t="s">
        <v>258</v>
      </c>
      <c r="V569" s="282"/>
      <c r="W569" s="282" t="s">
        <v>306</v>
      </c>
      <c r="X569" s="282" t="s">
        <v>29</v>
      </c>
      <c r="Y569" s="282" t="s">
        <v>23</v>
      </c>
    </row>
    <row r="570" spans="1:25" hidden="1" x14ac:dyDescent="0.25">
      <c r="A570" s="277" t="s">
        <v>726</v>
      </c>
      <c r="B570" s="278">
        <v>45863</v>
      </c>
      <c r="C570" s="279" t="s">
        <v>470</v>
      </c>
      <c r="D570" s="279"/>
      <c r="E570" s="262">
        <v>0</v>
      </c>
      <c r="F570" s="280">
        <v>4200000</v>
      </c>
      <c r="G570" s="353">
        <f>Tabla3[[#This Row],[INGRESOS]]-Tabla3[[#This Row],[EGRESOS]]</f>
        <v>4200000</v>
      </c>
      <c r="H570" s="275">
        <v>75987.08</v>
      </c>
      <c r="I570" s="275">
        <v>1290</v>
      </c>
      <c r="J570" s="281">
        <f>Tabla3[[#This Row],[EGRESOS]]/Tabla3[[#This Row],[TC]]</f>
        <v>0</v>
      </c>
      <c r="K570" s="281">
        <f>Tabla3[[#This Row],[INGRESOS]]/Tabla3[[#This Row],[TC]]</f>
        <v>3255.8139534883721</v>
      </c>
      <c r="L570" s="282" t="s">
        <v>303</v>
      </c>
      <c r="M570" s="282" t="s">
        <v>304</v>
      </c>
      <c r="N570" s="282" t="s">
        <v>28</v>
      </c>
      <c r="O570" s="282" t="s">
        <v>214</v>
      </c>
      <c r="P570" s="282" t="s">
        <v>216</v>
      </c>
      <c r="Q570" s="282" t="s">
        <v>217</v>
      </c>
      <c r="R570" s="282" t="s">
        <v>388</v>
      </c>
      <c r="S570" s="282"/>
      <c r="T570" s="282"/>
      <c r="U570" s="282" t="s">
        <v>262</v>
      </c>
      <c r="V570" s="282"/>
      <c r="W570" s="282"/>
      <c r="X570" s="282"/>
      <c r="Y570" s="282"/>
    </row>
    <row r="571" spans="1:25" hidden="1" x14ac:dyDescent="0.25">
      <c r="A571" s="277" t="s">
        <v>726</v>
      </c>
      <c r="B571" s="278">
        <v>45863</v>
      </c>
      <c r="C571" s="279" t="s">
        <v>438</v>
      </c>
      <c r="D571" s="279"/>
      <c r="E571" s="262">
        <v>25104.48</v>
      </c>
      <c r="F571" s="280">
        <v>0</v>
      </c>
      <c r="G571" s="353">
        <f>Tabla3[[#This Row],[INGRESOS]]-Tabla3[[#This Row],[EGRESOS]]</f>
        <v>-25104.48</v>
      </c>
      <c r="H571" s="275">
        <v>50882.6</v>
      </c>
      <c r="I571" s="275">
        <v>1290</v>
      </c>
      <c r="J571" s="281">
        <f>Tabla3[[#This Row],[EGRESOS]]/Tabla3[[#This Row],[TC]]</f>
        <v>19.460837209302326</v>
      </c>
      <c r="K571" s="281">
        <f>Tabla3[[#This Row],[INGRESOS]]/Tabla3[[#This Row],[TC]]</f>
        <v>0</v>
      </c>
      <c r="L571" s="282" t="s">
        <v>303</v>
      </c>
      <c r="M571" s="282" t="s">
        <v>304</v>
      </c>
      <c r="N571" s="282" t="s">
        <v>28</v>
      </c>
      <c r="O571" s="282" t="s">
        <v>184</v>
      </c>
      <c r="P571" s="282" t="s">
        <v>187</v>
      </c>
      <c r="Q571" s="282" t="s">
        <v>188</v>
      </c>
      <c r="R571" s="282" t="s">
        <v>317</v>
      </c>
      <c r="S571" s="282"/>
      <c r="T571" s="282"/>
      <c r="U571" s="282" t="s">
        <v>261</v>
      </c>
      <c r="V571" s="282"/>
      <c r="W571" s="282" t="s">
        <v>306</v>
      </c>
      <c r="X571" s="282" t="s">
        <v>98</v>
      </c>
      <c r="Y571" s="282" t="s">
        <v>23</v>
      </c>
    </row>
    <row r="572" spans="1:25" hidden="1" x14ac:dyDescent="0.25">
      <c r="A572" s="277" t="s">
        <v>726</v>
      </c>
      <c r="B572" s="278">
        <v>45867</v>
      </c>
      <c r="C572" s="279" t="s">
        <v>470</v>
      </c>
      <c r="D572" s="279"/>
      <c r="E572" s="262">
        <v>4000000</v>
      </c>
      <c r="F572" s="280">
        <v>0</v>
      </c>
      <c r="G572" s="353">
        <f>Tabla3[[#This Row],[INGRESOS]]-Tabla3[[#This Row],[EGRESOS]]</f>
        <v>-4000000</v>
      </c>
      <c r="H572" s="275">
        <v>-3949117.4</v>
      </c>
      <c r="I572" s="275">
        <v>1290</v>
      </c>
      <c r="J572" s="281">
        <f>Tabla3[[#This Row],[EGRESOS]]/Tabla3[[#This Row],[TC]]</f>
        <v>3100.7751937984494</v>
      </c>
      <c r="K572" s="281">
        <f>Tabla3[[#This Row],[INGRESOS]]/Tabla3[[#This Row],[TC]]</f>
        <v>0</v>
      </c>
      <c r="L572" s="282" t="s">
        <v>303</v>
      </c>
      <c r="M572" s="282" t="s">
        <v>304</v>
      </c>
      <c r="N572" s="282" t="s">
        <v>28</v>
      </c>
      <c r="O572" s="282" t="s">
        <v>214</v>
      </c>
      <c r="P572" s="282" t="s">
        <v>216</v>
      </c>
      <c r="Q572" s="282" t="s">
        <v>217</v>
      </c>
      <c r="R572" s="282" t="s">
        <v>305</v>
      </c>
      <c r="S572" s="282"/>
      <c r="T572" s="282"/>
      <c r="U572" s="282" t="s">
        <v>262</v>
      </c>
      <c r="V572" s="282"/>
      <c r="W572" s="282"/>
      <c r="X572" s="282"/>
      <c r="Y572" s="282"/>
    </row>
    <row r="573" spans="1:25" hidden="1" x14ac:dyDescent="0.25">
      <c r="A573" s="277" t="s">
        <v>726</v>
      </c>
      <c r="B573" s="278">
        <v>45868</v>
      </c>
      <c r="C573" s="279" t="s">
        <v>446</v>
      </c>
      <c r="D573" s="279"/>
      <c r="E573" s="262">
        <v>1500000</v>
      </c>
      <c r="F573" s="280">
        <v>0</v>
      </c>
      <c r="G573" s="353">
        <f>Tabla3[[#This Row],[INGRESOS]]-Tabla3[[#This Row],[EGRESOS]]</f>
        <v>-1500000</v>
      </c>
      <c r="H573" s="356">
        <v>-5449117.4000000004</v>
      </c>
      <c r="I573" s="275">
        <v>1290</v>
      </c>
      <c r="J573" s="281">
        <f>Tabla3[[#This Row],[EGRESOS]]/Tabla3[[#This Row],[TC]]</f>
        <v>1162.7906976744187</v>
      </c>
      <c r="K573" s="281">
        <f>Tabla3[[#This Row],[INGRESOS]]/Tabla3[[#This Row],[TC]]</f>
        <v>0</v>
      </c>
      <c r="L573" s="282" t="s">
        <v>303</v>
      </c>
      <c r="M573" s="282" t="s">
        <v>304</v>
      </c>
      <c r="N573" s="282" t="s">
        <v>28</v>
      </c>
      <c r="O573" s="282" t="s">
        <v>214</v>
      </c>
      <c r="P573" s="282" t="s">
        <v>216</v>
      </c>
      <c r="Q573" s="282" t="s">
        <v>217</v>
      </c>
      <c r="R573" s="282" t="s">
        <v>305</v>
      </c>
      <c r="S573" s="282"/>
      <c r="T573" s="282"/>
      <c r="U573" s="282" t="s">
        <v>262</v>
      </c>
      <c r="V573" s="282"/>
      <c r="W573" s="282"/>
      <c r="X573" s="282"/>
      <c r="Y573" s="282"/>
    </row>
    <row r="574" spans="1:25" hidden="1" x14ac:dyDescent="0.25">
      <c r="A574" s="256" t="s">
        <v>183</v>
      </c>
      <c r="B574" s="260">
        <v>45660</v>
      </c>
      <c r="C574" s="261" t="s">
        <v>503</v>
      </c>
      <c r="D574" s="261"/>
      <c r="E574" s="262">
        <v>655747.89</v>
      </c>
      <c r="F574" s="262">
        <v>0</v>
      </c>
      <c r="G574" s="276">
        <f>Tabla3[[#This Row],[INGRESOS]]-Tabla3[[#This Row],[EGRESOS]]</f>
        <v>-655747.89</v>
      </c>
      <c r="H574" s="137">
        <v>-655747.89</v>
      </c>
      <c r="I574" s="135">
        <v>1140</v>
      </c>
      <c r="J574" s="136">
        <f>Tabla3[[#This Row],[EGRESOS]]/Tabla3[[#This Row],[TC]]</f>
        <v>575.21744736842106</v>
      </c>
      <c r="K574" s="136">
        <f>Tabla3[[#This Row],[INGRESOS]]/Tabla3[[#This Row],[TC]]</f>
        <v>0</v>
      </c>
      <c r="L574" s="8" t="s">
        <v>303</v>
      </c>
      <c r="M574" s="8" t="s">
        <v>504</v>
      </c>
      <c r="N574" s="8" t="s">
        <v>20</v>
      </c>
      <c r="O574" s="8" t="s">
        <v>184</v>
      </c>
      <c r="P574" s="8" t="s">
        <v>191</v>
      </c>
      <c r="Q574" s="8" t="s">
        <v>193</v>
      </c>
      <c r="R574" s="8" t="s">
        <v>505</v>
      </c>
      <c r="S574" s="8" t="s">
        <v>313</v>
      </c>
      <c r="T574" s="8"/>
      <c r="U574" s="8" t="s">
        <v>266</v>
      </c>
      <c r="V574" s="8"/>
      <c r="W574" s="8" t="s">
        <v>306</v>
      </c>
      <c r="X574" s="7" t="s">
        <v>98</v>
      </c>
      <c r="Y574" s="8" t="s">
        <v>23</v>
      </c>
    </row>
    <row r="575" spans="1:25" hidden="1" x14ac:dyDescent="0.25">
      <c r="A575" s="256" t="s">
        <v>183</v>
      </c>
      <c r="B575" s="260">
        <v>45660</v>
      </c>
      <c r="C575" s="261" t="s">
        <v>637</v>
      </c>
      <c r="D575" s="261"/>
      <c r="E575" s="262">
        <v>3934.49</v>
      </c>
      <c r="F575" s="262">
        <v>0</v>
      </c>
      <c r="G575" s="276">
        <f>Tabla3[[#This Row],[INGRESOS]]-Tabla3[[#This Row],[EGRESOS]]</f>
        <v>-3934.49</v>
      </c>
      <c r="H575" s="137">
        <v>-659682.38</v>
      </c>
      <c r="I575" s="135">
        <v>1140</v>
      </c>
      <c r="J575" s="136">
        <f>Tabla3[[#This Row],[EGRESOS]]/Tabla3[[#This Row],[TC]]</f>
        <v>3.4513070175438596</v>
      </c>
      <c r="K575" s="136">
        <f>Tabla3[[#This Row],[INGRESOS]]/Tabla3[[#This Row],[TC]]</f>
        <v>0</v>
      </c>
      <c r="L575" s="8" t="s">
        <v>303</v>
      </c>
      <c r="M575" s="8" t="s">
        <v>504</v>
      </c>
      <c r="N575" s="8" t="s">
        <v>20</v>
      </c>
      <c r="O575" s="8" t="s">
        <v>184</v>
      </c>
      <c r="P575" s="8" t="s">
        <v>187</v>
      </c>
      <c r="Q575" s="8" t="s">
        <v>188</v>
      </c>
      <c r="R575" s="8" t="s">
        <v>317</v>
      </c>
      <c r="S575" s="8"/>
      <c r="T575" s="8"/>
      <c r="U575" s="8" t="s">
        <v>261</v>
      </c>
      <c r="V575" s="8"/>
      <c r="W575" s="8" t="s">
        <v>306</v>
      </c>
      <c r="X575" s="8" t="s">
        <v>98</v>
      </c>
      <c r="Y575" s="8" t="s">
        <v>23</v>
      </c>
    </row>
    <row r="576" spans="1:25" hidden="1" x14ac:dyDescent="0.25">
      <c r="A576" s="256" t="s">
        <v>183</v>
      </c>
      <c r="B576" s="260">
        <v>45660</v>
      </c>
      <c r="C576" s="261" t="s">
        <v>506</v>
      </c>
      <c r="D576" s="261"/>
      <c r="E576" s="262">
        <v>0</v>
      </c>
      <c r="F576" s="262">
        <v>659682.38</v>
      </c>
      <c r="G576" s="276">
        <f>Tabla3[[#This Row],[INGRESOS]]-Tabla3[[#This Row],[EGRESOS]]</f>
        <v>659682.38</v>
      </c>
      <c r="H576" s="133">
        <v>0</v>
      </c>
      <c r="I576" s="135">
        <v>1140</v>
      </c>
      <c r="J576" s="136">
        <f>Tabla3[[#This Row],[EGRESOS]]/Tabla3[[#This Row],[TC]]</f>
        <v>0</v>
      </c>
      <c r="K576" s="136">
        <f>Tabla3[[#This Row],[INGRESOS]]/Tabla3[[#This Row],[TC]]</f>
        <v>578.66875438596492</v>
      </c>
      <c r="L576" s="8" t="s">
        <v>303</v>
      </c>
      <c r="M576" s="8" t="s">
        <v>504</v>
      </c>
      <c r="N576" s="8" t="s">
        <v>20</v>
      </c>
      <c r="O576" s="8" t="s">
        <v>214</v>
      </c>
      <c r="P576" s="8" t="s">
        <v>216</v>
      </c>
      <c r="Q576" s="8" t="s">
        <v>217</v>
      </c>
      <c r="R576" s="8" t="s">
        <v>388</v>
      </c>
      <c r="S576" s="8"/>
      <c r="T576" s="8"/>
      <c r="U576" s="8" t="s">
        <v>262</v>
      </c>
      <c r="V576" s="8"/>
      <c r="W576" s="8" t="s">
        <v>306</v>
      </c>
      <c r="X576" s="8"/>
      <c r="Y576" s="8"/>
    </row>
    <row r="577" spans="1:25" s="7" customFormat="1" hidden="1" x14ac:dyDescent="0.25">
      <c r="A577" s="256" t="s">
        <v>183</v>
      </c>
      <c r="B577" s="260">
        <v>45665</v>
      </c>
      <c r="C577" s="261" t="s">
        <v>507</v>
      </c>
      <c r="D577" s="261"/>
      <c r="E577" s="262">
        <v>840</v>
      </c>
      <c r="F577" s="262">
        <v>0</v>
      </c>
      <c r="G577" s="276">
        <f>Tabla3[[#This Row],[INGRESOS]]-Tabla3[[#This Row],[EGRESOS]]</f>
        <v>-840</v>
      </c>
      <c r="H577" s="137">
        <v>-840</v>
      </c>
      <c r="I577" s="135">
        <v>1140</v>
      </c>
      <c r="J577" s="136">
        <f>Tabla3[[#This Row],[EGRESOS]]/Tabla3[[#This Row],[TC]]</f>
        <v>0.73684210526315785</v>
      </c>
      <c r="K577" s="136">
        <f>Tabla3[[#This Row],[INGRESOS]]/Tabla3[[#This Row],[TC]]</f>
        <v>0</v>
      </c>
      <c r="L577" s="8" t="s">
        <v>303</v>
      </c>
      <c r="M577" s="8" t="s">
        <v>504</v>
      </c>
      <c r="N577" s="8" t="s">
        <v>20</v>
      </c>
      <c r="O577" s="8" t="s">
        <v>184</v>
      </c>
      <c r="P577" s="8" t="s">
        <v>187</v>
      </c>
      <c r="Q577" s="8" t="s">
        <v>188</v>
      </c>
      <c r="R577" s="8" t="s">
        <v>308</v>
      </c>
      <c r="S577" s="8"/>
      <c r="T577" s="8"/>
      <c r="U577" s="8" t="s">
        <v>261</v>
      </c>
      <c r="V577" s="8"/>
      <c r="W577" s="8" t="s">
        <v>306</v>
      </c>
      <c r="X577" s="8" t="s">
        <v>98</v>
      </c>
      <c r="Y577" s="8" t="s">
        <v>23</v>
      </c>
    </row>
    <row r="578" spans="1:25" s="7" customFormat="1" hidden="1" x14ac:dyDescent="0.25">
      <c r="A578" s="256" t="s">
        <v>183</v>
      </c>
      <c r="B578" s="260">
        <v>45665</v>
      </c>
      <c r="C578" s="261" t="s">
        <v>508</v>
      </c>
      <c r="D578" s="261"/>
      <c r="E578" s="262">
        <v>120</v>
      </c>
      <c r="F578" s="262">
        <v>0</v>
      </c>
      <c r="G578" s="276">
        <f>Tabla3[[#This Row],[INGRESOS]]-Tabla3[[#This Row],[EGRESOS]]</f>
        <v>-120</v>
      </c>
      <c r="H578" s="137">
        <v>-960</v>
      </c>
      <c r="I578" s="135">
        <v>1140</v>
      </c>
      <c r="J578" s="136">
        <f>Tabla3[[#This Row],[EGRESOS]]/Tabla3[[#This Row],[TC]]</f>
        <v>0.10526315789473684</v>
      </c>
      <c r="K578" s="136">
        <f>Tabla3[[#This Row],[INGRESOS]]/Tabla3[[#This Row],[TC]]</f>
        <v>0</v>
      </c>
      <c r="L578" s="8" t="s">
        <v>303</v>
      </c>
      <c r="M578" s="8" t="s">
        <v>504</v>
      </c>
      <c r="N578" s="8" t="s">
        <v>20</v>
      </c>
      <c r="O578" s="8" t="s">
        <v>184</v>
      </c>
      <c r="P578" s="8" t="s">
        <v>187</v>
      </c>
      <c r="Q578" s="8" t="s">
        <v>188</v>
      </c>
      <c r="R578" s="8" t="s">
        <v>334</v>
      </c>
      <c r="S578" s="8"/>
      <c r="T578" s="8"/>
      <c r="U578" s="8" t="s">
        <v>261</v>
      </c>
      <c r="V578" s="8"/>
      <c r="W578" s="8" t="s">
        <v>306</v>
      </c>
      <c r="X578" s="8" t="s">
        <v>98</v>
      </c>
      <c r="Y578" s="8" t="s">
        <v>23</v>
      </c>
    </row>
    <row r="579" spans="1:25" s="7" customFormat="1" hidden="1" x14ac:dyDescent="0.25">
      <c r="A579" s="256" t="s">
        <v>183</v>
      </c>
      <c r="B579" s="260">
        <v>45665</v>
      </c>
      <c r="C579" s="261" t="s">
        <v>509</v>
      </c>
      <c r="D579" s="261"/>
      <c r="E579" s="262">
        <v>4000</v>
      </c>
      <c r="F579" s="262">
        <v>0</v>
      </c>
      <c r="G579" s="276">
        <f>Tabla3[[#This Row],[INGRESOS]]-Tabla3[[#This Row],[EGRESOS]]</f>
        <v>-4000</v>
      </c>
      <c r="H579" s="137">
        <v>-4960</v>
      </c>
      <c r="I579" s="135">
        <v>1140</v>
      </c>
      <c r="J579" s="136">
        <f>Tabla3[[#This Row],[EGRESOS]]/Tabla3[[#This Row],[TC]]</f>
        <v>3.5087719298245612</v>
      </c>
      <c r="K579" s="136">
        <f>Tabla3[[#This Row],[INGRESOS]]/Tabla3[[#This Row],[TC]]</f>
        <v>0</v>
      </c>
      <c r="L579" s="8" t="s">
        <v>303</v>
      </c>
      <c r="M579" s="8" t="s">
        <v>504</v>
      </c>
      <c r="N579" s="8" t="s">
        <v>20</v>
      </c>
      <c r="O579" s="8" t="s">
        <v>184</v>
      </c>
      <c r="P579" s="7" t="s">
        <v>185</v>
      </c>
      <c r="Q579" s="8" t="s">
        <v>186</v>
      </c>
      <c r="R579" s="8" t="s">
        <v>510</v>
      </c>
      <c r="S579" s="8"/>
      <c r="T579" s="8"/>
      <c r="U579" s="8" t="s">
        <v>261</v>
      </c>
      <c r="V579" s="8"/>
      <c r="W579" s="8" t="s">
        <v>306</v>
      </c>
      <c r="X579" s="8" t="s">
        <v>98</v>
      </c>
      <c r="Y579" s="8" t="s">
        <v>23</v>
      </c>
    </row>
    <row r="580" spans="1:25" s="7" customFormat="1" hidden="1" x14ac:dyDescent="0.25">
      <c r="A580" s="256" t="s">
        <v>183</v>
      </c>
      <c r="B580" s="260">
        <v>45665</v>
      </c>
      <c r="C580" s="261" t="s">
        <v>637</v>
      </c>
      <c r="D580" s="261"/>
      <c r="E580" s="262">
        <v>29.76</v>
      </c>
      <c r="F580" s="262">
        <v>0</v>
      </c>
      <c r="G580" s="276">
        <f>Tabla3[[#This Row],[INGRESOS]]-Tabla3[[#This Row],[EGRESOS]]</f>
        <v>-29.76</v>
      </c>
      <c r="H580" s="137">
        <v>-4989.76</v>
      </c>
      <c r="I580" s="135">
        <v>1140</v>
      </c>
      <c r="J580" s="136">
        <f>Tabla3[[#This Row],[EGRESOS]]/Tabla3[[#This Row],[TC]]</f>
        <v>2.6105263157894739E-2</v>
      </c>
      <c r="K580" s="136">
        <f>Tabla3[[#This Row],[INGRESOS]]/Tabla3[[#This Row],[TC]]</f>
        <v>0</v>
      </c>
      <c r="L580" s="8" t="s">
        <v>303</v>
      </c>
      <c r="M580" s="8" t="s">
        <v>504</v>
      </c>
      <c r="N580" s="8" t="s">
        <v>20</v>
      </c>
      <c r="O580" s="8" t="s">
        <v>184</v>
      </c>
      <c r="P580" s="8" t="s">
        <v>187</v>
      </c>
      <c r="Q580" s="8" t="s">
        <v>188</v>
      </c>
      <c r="R580" s="8" t="s">
        <v>317</v>
      </c>
      <c r="S580" s="8"/>
      <c r="T580" s="8"/>
      <c r="U580" s="8" t="s">
        <v>261</v>
      </c>
      <c r="V580" s="8"/>
      <c r="W580" s="8" t="s">
        <v>306</v>
      </c>
      <c r="X580" s="8" t="s">
        <v>98</v>
      </c>
      <c r="Y580" s="8" t="s">
        <v>23</v>
      </c>
    </row>
    <row r="581" spans="1:25" s="7" customFormat="1" hidden="1" x14ac:dyDescent="0.25">
      <c r="A581" s="256" t="s">
        <v>183</v>
      </c>
      <c r="B581" s="260">
        <v>45665</v>
      </c>
      <c r="C581" s="261" t="s">
        <v>506</v>
      </c>
      <c r="D581" s="261"/>
      <c r="E581" s="262">
        <v>0</v>
      </c>
      <c r="F581" s="262">
        <v>4989.76</v>
      </c>
      <c r="G581" s="276">
        <f>Tabla3[[#This Row],[INGRESOS]]-Tabla3[[#This Row],[EGRESOS]]</f>
        <v>4989.76</v>
      </c>
      <c r="H581" s="137">
        <v>0</v>
      </c>
      <c r="I581" s="135">
        <v>1140</v>
      </c>
      <c r="J581" s="136">
        <f>Tabla3[[#This Row],[EGRESOS]]/Tabla3[[#This Row],[TC]]</f>
        <v>0</v>
      </c>
      <c r="K581" s="136">
        <f>Tabla3[[#This Row],[INGRESOS]]/Tabla3[[#This Row],[TC]]</f>
        <v>4.3769824561403512</v>
      </c>
      <c r="L581" s="8" t="s">
        <v>303</v>
      </c>
      <c r="M581" s="8" t="s">
        <v>504</v>
      </c>
      <c r="N581" s="8" t="s">
        <v>20</v>
      </c>
      <c r="O581" s="8" t="s">
        <v>214</v>
      </c>
      <c r="P581" s="8" t="s">
        <v>216</v>
      </c>
      <c r="Q581" s="8" t="s">
        <v>217</v>
      </c>
      <c r="R581" s="8" t="s">
        <v>388</v>
      </c>
      <c r="S581" s="8"/>
      <c r="T581" s="8"/>
      <c r="U581" s="8" t="s">
        <v>262</v>
      </c>
      <c r="V581" s="8"/>
      <c r="W581" s="8" t="s">
        <v>306</v>
      </c>
      <c r="X581" s="8"/>
      <c r="Y581" s="8"/>
    </row>
    <row r="582" spans="1:25" s="7" customFormat="1" hidden="1" x14ac:dyDescent="0.25">
      <c r="A582" s="256" t="s">
        <v>183</v>
      </c>
      <c r="B582" s="260">
        <v>45687</v>
      </c>
      <c r="C582" s="261" t="s">
        <v>507</v>
      </c>
      <c r="D582" s="261"/>
      <c r="E582" s="262">
        <v>7602</v>
      </c>
      <c r="F582" s="262">
        <v>0</v>
      </c>
      <c r="G582" s="276">
        <f>Tabla3[[#This Row],[INGRESOS]]-Tabla3[[#This Row],[EGRESOS]]</f>
        <v>-7602</v>
      </c>
      <c r="H582" s="137">
        <v>-7602</v>
      </c>
      <c r="I582" s="135">
        <v>1140</v>
      </c>
      <c r="J582" s="136">
        <f>Tabla3[[#This Row],[EGRESOS]]/Tabla3[[#This Row],[TC]]</f>
        <v>6.6684210526315786</v>
      </c>
      <c r="K582" s="136">
        <f>Tabla3[[#This Row],[INGRESOS]]/Tabla3[[#This Row],[TC]]</f>
        <v>0</v>
      </c>
      <c r="L582" s="8" t="s">
        <v>303</v>
      </c>
      <c r="M582" s="8" t="s">
        <v>504</v>
      </c>
      <c r="N582" s="8" t="s">
        <v>20</v>
      </c>
      <c r="O582" s="8" t="s">
        <v>184</v>
      </c>
      <c r="P582" s="8" t="s">
        <v>187</v>
      </c>
      <c r="Q582" s="8" t="s">
        <v>188</v>
      </c>
      <c r="R582" s="8" t="s">
        <v>308</v>
      </c>
      <c r="S582" s="8"/>
      <c r="T582" s="8"/>
      <c r="U582" s="8" t="s">
        <v>261</v>
      </c>
      <c r="V582" s="8"/>
      <c r="W582" s="8" t="s">
        <v>306</v>
      </c>
      <c r="X582" s="8" t="s">
        <v>98</v>
      </c>
      <c r="Y582" s="8" t="s">
        <v>23</v>
      </c>
    </row>
    <row r="583" spans="1:25" s="7" customFormat="1" hidden="1" x14ac:dyDescent="0.25">
      <c r="A583" s="256" t="s">
        <v>183</v>
      </c>
      <c r="B583" s="260">
        <v>45687</v>
      </c>
      <c r="C583" s="261" t="s">
        <v>508</v>
      </c>
      <c r="D583" s="261"/>
      <c r="E583" s="262">
        <v>1086</v>
      </c>
      <c r="F583" s="262">
        <v>0</v>
      </c>
      <c r="G583" s="276">
        <f>Tabla3[[#This Row],[INGRESOS]]-Tabla3[[#This Row],[EGRESOS]]</f>
        <v>-1086</v>
      </c>
      <c r="H583" s="137">
        <v>-8688</v>
      </c>
      <c r="I583" s="135">
        <v>1140</v>
      </c>
      <c r="J583" s="136">
        <f>Tabla3[[#This Row],[EGRESOS]]/Tabla3[[#This Row],[TC]]</f>
        <v>0.95263157894736838</v>
      </c>
      <c r="K583" s="136">
        <f>Tabla3[[#This Row],[INGRESOS]]/Tabla3[[#This Row],[TC]]</f>
        <v>0</v>
      </c>
      <c r="L583" s="8" t="s">
        <v>303</v>
      </c>
      <c r="M583" s="8" t="s">
        <v>504</v>
      </c>
      <c r="N583" s="8" t="s">
        <v>20</v>
      </c>
      <c r="O583" s="8" t="s">
        <v>184</v>
      </c>
      <c r="P583" s="8" t="s">
        <v>187</v>
      </c>
      <c r="Q583" s="8" t="s">
        <v>188</v>
      </c>
      <c r="R583" s="8" t="s">
        <v>334</v>
      </c>
      <c r="S583" s="8"/>
      <c r="T583" s="8"/>
      <c r="U583" s="8" t="s">
        <v>261</v>
      </c>
      <c r="V583" s="8"/>
      <c r="W583" s="8" t="s">
        <v>306</v>
      </c>
      <c r="X583" s="8" t="s">
        <v>98</v>
      </c>
      <c r="Y583" s="8" t="s">
        <v>23</v>
      </c>
    </row>
    <row r="584" spans="1:25" s="7" customFormat="1" hidden="1" x14ac:dyDescent="0.25">
      <c r="A584" s="256" t="s">
        <v>183</v>
      </c>
      <c r="B584" s="260">
        <v>45687</v>
      </c>
      <c r="C584" s="261" t="s">
        <v>511</v>
      </c>
      <c r="D584" s="261"/>
      <c r="E584" s="262">
        <v>36200</v>
      </c>
      <c r="F584" s="262">
        <v>0</v>
      </c>
      <c r="G584" s="276">
        <f>Tabla3[[#This Row],[INGRESOS]]-Tabla3[[#This Row],[EGRESOS]]</f>
        <v>-36200</v>
      </c>
      <c r="H584" s="137">
        <v>-44888</v>
      </c>
      <c r="I584" s="135">
        <v>1140</v>
      </c>
      <c r="J584" s="136">
        <f>Tabla3[[#This Row],[EGRESOS]]/Tabla3[[#This Row],[TC]]</f>
        <v>31.754385964912281</v>
      </c>
      <c r="K584" s="136">
        <f>Tabla3[[#This Row],[INGRESOS]]/Tabla3[[#This Row],[TC]]</f>
        <v>0</v>
      </c>
      <c r="L584" s="8" t="s">
        <v>303</v>
      </c>
      <c r="M584" s="8" t="s">
        <v>504</v>
      </c>
      <c r="N584" s="8" t="s">
        <v>20</v>
      </c>
      <c r="O584" s="8" t="s">
        <v>184</v>
      </c>
      <c r="P584" s="8" t="s">
        <v>185</v>
      </c>
      <c r="Q584" s="8" t="s">
        <v>186</v>
      </c>
      <c r="R584" s="8" t="s">
        <v>211</v>
      </c>
      <c r="S584" s="8"/>
      <c r="T584" s="8"/>
      <c r="U584" s="8" t="s">
        <v>261</v>
      </c>
      <c r="V584" s="8"/>
      <c r="W584" s="8" t="s">
        <v>306</v>
      </c>
      <c r="X584" s="8" t="s">
        <v>98</v>
      </c>
      <c r="Y584" s="8" t="s">
        <v>23</v>
      </c>
    </row>
    <row r="585" spans="1:25" s="7" customFormat="1" hidden="1" x14ac:dyDescent="0.25">
      <c r="A585" s="256" t="s">
        <v>183</v>
      </c>
      <c r="B585" s="260">
        <v>45687</v>
      </c>
      <c r="C585" s="261" t="s">
        <v>637</v>
      </c>
      <c r="D585" s="261"/>
      <c r="E585" s="262">
        <v>269.33</v>
      </c>
      <c r="F585" s="262">
        <v>0</v>
      </c>
      <c r="G585" s="276">
        <f>Tabla3[[#This Row],[INGRESOS]]-Tabla3[[#This Row],[EGRESOS]]</f>
        <v>-269.33</v>
      </c>
      <c r="H585" s="137">
        <v>-45157.33</v>
      </c>
      <c r="I585" s="135">
        <v>1140</v>
      </c>
      <c r="J585" s="136">
        <f>Tabla3[[#This Row],[EGRESOS]]/Tabla3[[#This Row],[TC]]</f>
        <v>0.23625438596491227</v>
      </c>
      <c r="K585" s="136">
        <f>Tabla3[[#This Row],[INGRESOS]]/Tabla3[[#This Row],[TC]]</f>
        <v>0</v>
      </c>
      <c r="L585" s="8" t="s">
        <v>303</v>
      </c>
      <c r="M585" s="8" t="s">
        <v>504</v>
      </c>
      <c r="N585" s="8" t="s">
        <v>20</v>
      </c>
      <c r="O585" s="8" t="s">
        <v>184</v>
      </c>
      <c r="P585" s="8" t="s">
        <v>187</v>
      </c>
      <c r="Q585" s="8" t="s">
        <v>188</v>
      </c>
      <c r="R585" s="8" t="s">
        <v>317</v>
      </c>
      <c r="S585" s="8"/>
      <c r="T585" s="8"/>
      <c r="U585" s="8" t="s">
        <v>261</v>
      </c>
      <c r="V585" s="8"/>
      <c r="W585" s="8" t="s">
        <v>306</v>
      </c>
      <c r="X585" s="8" t="s">
        <v>98</v>
      </c>
      <c r="Y585" s="8" t="s">
        <v>23</v>
      </c>
    </row>
    <row r="586" spans="1:25" s="7" customFormat="1" hidden="1" x14ac:dyDescent="0.25">
      <c r="A586" s="256" t="s">
        <v>183</v>
      </c>
      <c r="B586" s="260">
        <v>45687</v>
      </c>
      <c r="C586" s="261" t="s">
        <v>506</v>
      </c>
      <c r="D586" s="261"/>
      <c r="E586" s="262">
        <v>0</v>
      </c>
      <c r="F586" s="262">
        <v>45157.33</v>
      </c>
      <c r="G586" s="276">
        <f>Tabla3[[#This Row],[INGRESOS]]-Tabla3[[#This Row],[EGRESOS]]</f>
        <v>45157.33</v>
      </c>
      <c r="H586" s="137">
        <v>0</v>
      </c>
      <c r="I586" s="135">
        <v>1140</v>
      </c>
      <c r="J586" s="136">
        <f>Tabla3[[#This Row],[EGRESOS]]/Tabla3[[#This Row],[TC]]</f>
        <v>0</v>
      </c>
      <c r="K586" s="136">
        <f>Tabla3[[#This Row],[INGRESOS]]/Tabla3[[#This Row],[TC]]</f>
        <v>39.611692982456141</v>
      </c>
      <c r="L586" s="8" t="s">
        <v>303</v>
      </c>
      <c r="M586" s="8" t="s">
        <v>504</v>
      </c>
      <c r="N586" s="8" t="s">
        <v>20</v>
      </c>
      <c r="O586" s="8" t="s">
        <v>214</v>
      </c>
      <c r="P586" s="8" t="s">
        <v>216</v>
      </c>
      <c r="Q586" s="8" t="s">
        <v>217</v>
      </c>
      <c r="R586" s="8" t="s">
        <v>388</v>
      </c>
      <c r="S586" s="8"/>
      <c r="T586" s="8"/>
      <c r="U586" s="8" t="s">
        <v>262</v>
      </c>
      <c r="V586" s="8"/>
      <c r="W586" s="8" t="s">
        <v>306</v>
      </c>
      <c r="X586" s="8"/>
      <c r="Y586" s="8"/>
    </row>
    <row r="587" spans="1:25" s="7" customFormat="1" hidden="1" x14ac:dyDescent="0.25">
      <c r="A587" s="256" t="s">
        <v>225</v>
      </c>
      <c r="B587" s="260">
        <v>45695</v>
      </c>
      <c r="C587" s="261" t="s">
        <v>503</v>
      </c>
      <c r="D587" s="261"/>
      <c r="E587" s="262">
        <v>968062.66</v>
      </c>
      <c r="F587" s="262">
        <v>0</v>
      </c>
      <c r="G587" s="276">
        <f>Tabla3[[#This Row],[INGRESOS]]-Tabla3[[#This Row],[EGRESOS]]</f>
        <v>-968062.66</v>
      </c>
      <c r="H587" s="137">
        <v>-968062.66</v>
      </c>
      <c r="I587" s="135">
        <v>1140</v>
      </c>
      <c r="J587" s="136">
        <f>Tabla3[[#This Row],[EGRESOS]]/Tabla3[[#This Row],[TC]]</f>
        <v>849.17777192982464</v>
      </c>
      <c r="K587" s="136">
        <f>Tabla3[[#This Row],[INGRESOS]]/Tabla3[[#This Row],[TC]]</f>
        <v>0</v>
      </c>
      <c r="L587" s="8" t="s">
        <v>303</v>
      </c>
      <c r="M587" s="8" t="s">
        <v>504</v>
      </c>
      <c r="N587" s="8" t="s">
        <v>20</v>
      </c>
      <c r="O587" s="8" t="s">
        <v>184</v>
      </c>
      <c r="P587" s="8" t="s">
        <v>191</v>
      </c>
      <c r="Q587" s="8" t="s">
        <v>193</v>
      </c>
      <c r="R587" s="8" t="s">
        <v>512</v>
      </c>
      <c r="S587" s="8" t="s">
        <v>313</v>
      </c>
      <c r="T587" s="8"/>
      <c r="U587" s="8" t="s">
        <v>266</v>
      </c>
      <c r="V587" s="8"/>
      <c r="W587" s="8" t="s">
        <v>306</v>
      </c>
      <c r="X587" s="7" t="s">
        <v>98</v>
      </c>
      <c r="Y587" s="8" t="s">
        <v>23</v>
      </c>
    </row>
    <row r="588" spans="1:25" s="7" customFormat="1" hidden="1" x14ac:dyDescent="0.25">
      <c r="A588" s="256" t="s">
        <v>225</v>
      </c>
      <c r="B588" s="260">
        <v>45695</v>
      </c>
      <c r="C588" s="261" t="s">
        <v>637</v>
      </c>
      <c r="D588" s="261"/>
      <c r="E588" s="262">
        <v>5808.38</v>
      </c>
      <c r="F588" s="262">
        <v>0</v>
      </c>
      <c r="G588" s="276">
        <f>Tabla3[[#This Row],[INGRESOS]]-Tabla3[[#This Row],[EGRESOS]]</f>
        <v>-5808.38</v>
      </c>
      <c r="H588" s="137">
        <v>-973871.04</v>
      </c>
      <c r="I588" s="135">
        <v>1140</v>
      </c>
      <c r="J588" s="136">
        <f>Tabla3[[#This Row],[EGRESOS]]/Tabla3[[#This Row],[TC]]</f>
        <v>5.0950701754385967</v>
      </c>
      <c r="K588" s="136">
        <f>Tabla3[[#This Row],[INGRESOS]]/Tabla3[[#This Row],[TC]]</f>
        <v>0</v>
      </c>
      <c r="L588" s="8" t="s">
        <v>303</v>
      </c>
      <c r="M588" s="8" t="s">
        <v>504</v>
      </c>
      <c r="N588" s="8" t="s">
        <v>20</v>
      </c>
      <c r="O588" s="8" t="s">
        <v>184</v>
      </c>
      <c r="P588" s="8" t="s">
        <v>187</v>
      </c>
      <c r="Q588" s="8" t="s">
        <v>188</v>
      </c>
      <c r="R588" s="8" t="s">
        <v>317</v>
      </c>
      <c r="S588" s="8"/>
      <c r="T588" s="8"/>
      <c r="U588" s="8" t="s">
        <v>261</v>
      </c>
      <c r="V588" s="8"/>
      <c r="W588" s="8" t="s">
        <v>306</v>
      </c>
      <c r="X588" s="8" t="s">
        <v>98</v>
      </c>
      <c r="Y588" s="8" t="s">
        <v>23</v>
      </c>
    </row>
    <row r="589" spans="1:25" s="7" customFormat="1" hidden="1" x14ac:dyDescent="0.25">
      <c r="A589" s="283" t="s">
        <v>225</v>
      </c>
      <c r="B589" s="260">
        <v>45695</v>
      </c>
      <c r="C589" s="261" t="s">
        <v>506</v>
      </c>
      <c r="D589" s="261"/>
      <c r="E589" s="262">
        <v>0</v>
      </c>
      <c r="F589" s="262">
        <v>973871.04</v>
      </c>
      <c r="G589" s="285">
        <f>Tabla3[[#This Row],[INGRESOS]]-Tabla3[[#This Row],[EGRESOS]]</f>
        <v>973871.04</v>
      </c>
      <c r="H589" s="137">
        <v>0</v>
      </c>
      <c r="I589" s="135">
        <v>1140</v>
      </c>
      <c r="J589" s="136">
        <f>Tabla3[[#This Row],[EGRESOS]]/Tabla3[[#This Row],[TC]]</f>
        <v>0</v>
      </c>
      <c r="K589" s="136">
        <f>Tabla3[[#This Row],[INGRESOS]]/Tabla3[[#This Row],[TC]]</f>
        <v>854.27284210526318</v>
      </c>
      <c r="L589" s="8" t="s">
        <v>303</v>
      </c>
      <c r="M589" s="8" t="s">
        <v>504</v>
      </c>
      <c r="N589" s="8" t="s">
        <v>20</v>
      </c>
      <c r="O589" s="8" t="s">
        <v>214</v>
      </c>
      <c r="P589" s="8" t="s">
        <v>216</v>
      </c>
      <c r="Q589" s="8" t="s">
        <v>217</v>
      </c>
      <c r="R589" s="8" t="s">
        <v>513</v>
      </c>
      <c r="S589" s="8"/>
      <c r="T589" s="8"/>
      <c r="U589" s="8" t="s">
        <v>262</v>
      </c>
      <c r="V589" s="8"/>
      <c r="W589" s="8" t="s">
        <v>306</v>
      </c>
      <c r="X589" s="8"/>
      <c r="Y589" s="8"/>
    </row>
    <row r="590" spans="1:25" s="7" customFormat="1" hidden="1" x14ac:dyDescent="0.25">
      <c r="A590" s="283" t="s">
        <v>225</v>
      </c>
      <c r="B590" s="260">
        <v>45715</v>
      </c>
      <c r="C590" s="261" t="s">
        <v>507</v>
      </c>
      <c r="D590" s="261"/>
      <c r="E590" s="262">
        <v>8757</v>
      </c>
      <c r="F590" s="262">
        <v>0</v>
      </c>
      <c r="G590" s="285">
        <f>Tabla3[[#This Row],[INGRESOS]]-Tabla3[[#This Row],[EGRESOS]]</f>
        <v>-8757</v>
      </c>
      <c r="H590" s="137">
        <v>-8757</v>
      </c>
      <c r="I590" s="135">
        <v>1140</v>
      </c>
      <c r="J590" s="136">
        <f>Tabla3[[#This Row],[EGRESOS]]/Tabla3[[#This Row],[TC]]</f>
        <v>7.6815789473684211</v>
      </c>
      <c r="K590" s="136">
        <f>Tabla3[[#This Row],[INGRESOS]]/Tabla3[[#This Row],[TC]]</f>
        <v>0</v>
      </c>
      <c r="L590" s="8" t="s">
        <v>303</v>
      </c>
      <c r="M590" s="8" t="s">
        <v>504</v>
      </c>
      <c r="N590" s="8" t="s">
        <v>20</v>
      </c>
      <c r="O590" s="8" t="s">
        <v>184</v>
      </c>
      <c r="P590" s="8" t="s">
        <v>187</v>
      </c>
      <c r="Q590" s="8" t="s">
        <v>188</v>
      </c>
      <c r="R590" s="8" t="s">
        <v>308</v>
      </c>
      <c r="S590" s="8"/>
      <c r="T590" s="8"/>
      <c r="U590" s="8" t="s">
        <v>261</v>
      </c>
      <c r="V590" s="8"/>
      <c r="W590" s="8" t="s">
        <v>306</v>
      </c>
      <c r="X590" s="8" t="s">
        <v>98</v>
      </c>
      <c r="Y590" s="8" t="s">
        <v>23</v>
      </c>
    </row>
    <row r="591" spans="1:25" s="7" customFormat="1" hidden="1" x14ac:dyDescent="0.25">
      <c r="A591" s="283" t="s">
        <v>225</v>
      </c>
      <c r="B591" s="260">
        <v>45715</v>
      </c>
      <c r="C591" s="261" t="s">
        <v>508</v>
      </c>
      <c r="D591" s="261"/>
      <c r="E591" s="262">
        <v>1251</v>
      </c>
      <c r="F591" s="262">
        <v>0</v>
      </c>
      <c r="G591" s="285">
        <f>Tabla3[[#This Row],[INGRESOS]]-Tabla3[[#This Row],[EGRESOS]]</f>
        <v>-1251</v>
      </c>
      <c r="H591" s="137">
        <v>-10008</v>
      </c>
      <c r="I591" s="135">
        <v>1140</v>
      </c>
      <c r="J591" s="136">
        <f>Tabla3[[#This Row],[EGRESOS]]/Tabla3[[#This Row],[TC]]</f>
        <v>1.0973684210526315</v>
      </c>
      <c r="K591" s="136">
        <f>Tabla3[[#This Row],[INGRESOS]]/Tabla3[[#This Row],[TC]]</f>
        <v>0</v>
      </c>
      <c r="L591" s="8" t="s">
        <v>303</v>
      </c>
      <c r="M591" s="8" t="s">
        <v>504</v>
      </c>
      <c r="N591" s="8" t="s">
        <v>20</v>
      </c>
      <c r="O591" s="8" t="s">
        <v>184</v>
      </c>
      <c r="P591" s="8" t="s">
        <v>187</v>
      </c>
      <c r="Q591" s="8" t="s">
        <v>188</v>
      </c>
      <c r="R591" s="8" t="s">
        <v>334</v>
      </c>
      <c r="S591" s="8"/>
      <c r="T591" s="8"/>
      <c r="U591" s="8" t="s">
        <v>261</v>
      </c>
      <c r="V591" s="8"/>
      <c r="W591" s="8" t="s">
        <v>306</v>
      </c>
      <c r="X591" s="8" t="s">
        <v>98</v>
      </c>
      <c r="Y591" s="8" t="s">
        <v>23</v>
      </c>
    </row>
    <row r="592" spans="1:25" s="7" customFormat="1" hidden="1" x14ac:dyDescent="0.25">
      <c r="A592" s="283" t="s">
        <v>225</v>
      </c>
      <c r="B592" s="260">
        <v>45715</v>
      </c>
      <c r="C592" s="261" t="s">
        <v>511</v>
      </c>
      <c r="D592" s="261"/>
      <c r="E592" s="262">
        <v>41700</v>
      </c>
      <c r="F592" s="262">
        <v>0</v>
      </c>
      <c r="G592" s="285">
        <f>Tabla3[[#This Row],[INGRESOS]]-Tabla3[[#This Row],[EGRESOS]]</f>
        <v>-41700</v>
      </c>
      <c r="H592" s="137">
        <v>-51708</v>
      </c>
      <c r="I592" s="135">
        <v>1140</v>
      </c>
      <c r="J592" s="136">
        <f>Tabla3[[#This Row],[EGRESOS]]/Tabla3[[#This Row],[TC]]</f>
        <v>36.578947368421055</v>
      </c>
      <c r="K592" s="136">
        <f>Tabla3[[#This Row],[INGRESOS]]/Tabla3[[#This Row],[TC]]</f>
        <v>0</v>
      </c>
      <c r="L592" s="8" t="s">
        <v>303</v>
      </c>
      <c r="M592" s="8" t="s">
        <v>504</v>
      </c>
      <c r="N592" s="8" t="s">
        <v>20</v>
      </c>
      <c r="O592" s="8" t="s">
        <v>184</v>
      </c>
      <c r="P592" s="8" t="s">
        <v>185</v>
      </c>
      <c r="Q592" s="8" t="s">
        <v>186</v>
      </c>
      <c r="R592" s="8"/>
      <c r="S592" s="8"/>
      <c r="T592" s="8"/>
      <c r="U592" s="8" t="s">
        <v>261</v>
      </c>
      <c r="V592" s="8"/>
      <c r="W592" s="8" t="s">
        <v>306</v>
      </c>
      <c r="X592" s="8" t="s">
        <v>98</v>
      </c>
      <c r="Y592" s="8" t="s">
        <v>23</v>
      </c>
    </row>
    <row r="593" spans="1:25" s="7" customFormat="1" hidden="1" x14ac:dyDescent="0.25">
      <c r="A593" s="283" t="s">
        <v>225</v>
      </c>
      <c r="B593" s="260">
        <v>45715</v>
      </c>
      <c r="C593" s="261" t="s">
        <v>637</v>
      </c>
      <c r="D593" s="261"/>
      <c r="E593" s="262">
        <v>310.25</v>
      </c>
      <c r="F593" s="262">
        <v>0</v>
      </c>
      <c r="G593" s="285">
        <f>Tabla3[[#This Row],[INGRESOS]]-Tabla3[[#This Row],[EGRESOS]]</f>
        <v>-310.25</v>
      </c>
      <c r="H593" s="137">
        <v>-52018.25</v>
      </c>
      <c r="I593" s="135">
        <v>1140</v>
      </c>
      <c r="J593" s="136">
        <f>Tabla3[[#This Row],[EGRESOS]]/Tabla3[[#This Row],[TC]]</f>
        <v>0.27214912280701753</v>
      </c>
      <c r="K593" s="136">
        <f>Tabla3[[#This Row],[INGRESOS]]/Tabla3[[#This Row],[TC]]</f>
        <v>0</v>
      </c>
      <c r="L593" s="8" t="s">
        <v>303</v>
      </c>
      <c r="M593" s="8" t="s">
        <v>504</v>
      </c>
      <c r="N593" s="8" t="s">
        <v>20</v>
      </c>
      <c r="O593" s="8" t="s">
        <v>184</v>
      </c>
      <c r="P593" s="8" t="s">
        <v>187</v>
      </c>
      <c r="Q593" s="8" t="s">
        <v>188</v>
      </c>
      <c r="R593" s="8" t="s">
        <v>317</v>
      </c>
      <c r="S593" s="8"/>
      <c r="T593" s="8"/>
      <c r="U593" s="8" t="s">
        <v>261</v>
      </c>
      <c r="V593" s="8"/>
      <c r="W593" s="8" t="s">
        <v>306</v>
      </c>
      <c r="X593" s="8" t="s">
        <v>98</v>
      </c>
      <c r="Y593" s="8" t="s">
        <v>23</v>
      </c>
    </row>
    <row r="594" spans="1:25" s="7" customFormat="1" hidden="1" x14ac:dyDescent="0.25">
      <c r="A594" s="283" t="s">
        <v>225</v>
      </c>
      <c r="B594" s="260">
        <v>45715</v>
      </c>
      <c r="C594" s="261" t="s">
        <v>506</v>
      </c>
      <c r="D594" s="261"/>
      <c r="E594" s="262">
        <v>0</v>
      </c>
      <c r="F594" s="262">
        <v>52018.25</v>
      </c>
      <c r="G594" s="285">
        <f>Tabla3[[#This Row],[INGRESOS]]-Tabla3[[#This Row],[EGRESOS]]</f>
        <v>52018.25</v>
      </c>
      <c r="H594" s="137">
        <v>0</v>
      </c>
      <c r="I594" s="135">
        <v>1140</v>
      </c>
      <c r="J594" s="136">
        <f>Tabla3[[#This Row],[EGRESOS]]/Tabla3[[#This Row],[TC]]</f>
        <v>0</v>
      </c>
      <c r="K594" s="136">
        <f>Tabla3[[#This Row],[INGRESOS]]/Tabla3[[#This Row],[TC]]</f>
        <v>45.63004385964912</v>
      </c>
      <c r="L594" s="8" t="s">
        <v>303</v>
      </c>
      <c r="M594" s="8" t="s">
        <v>504</v>
      </c>
      <c r="N594" s="8" t="s">
        <v>20</v>
      </c>
      <c r="O594" s="8" t="s">
        <v>214</v>
      </c>
      <c r="P594" s="8" t="s">
        <v>216</v>
      </c>
      <c r="Q594" s="8" t="s">
        <v>217</v>
      </c>
      <c r="R594" s="8" t="s">
        <v>388</v>
      </c>
      <c r="S594" s="8"/>
      <c r="T594" s="8"/>
      <c r="U594" s="8" t="s">
        <v>262</v>
      </c>
      <c r="V594" s="8"/>
      <c r="W594" s="8" t="s">
        <v>306</v>
      </c>
      <c r="X594" s="8"/>
      <c r="Y594" s="8"/>
    </row>
    <row r="595" spans="1:25" s="7" customFormat="1" hidden="1" x14ac:dyDescent="0.25">
      <c r="A595" s="283" t="s">
        <v>235</v>
      </c>
      <c r="B595" s="260">
        <v>45737</v>
      </c>
      <c r="C595" s="261" t="s">
        <v>503</v>
      </c>
      <c r="D595" s="261"/>
      <c r="E595" s="262">
        <v>803254.45</v>
      </c>
      <c r="F595" s="262">
        <v>0</v>
      </c>
      <c r="G595" s="285">
        <f>Tabla3[[#This Row],[INGRESOS]]-Tabla3[[#This Row],[EGRESOS]]</f>
        <v>-803254.45</v>
      </c>
      <c r="H595" s="137">
        <v>-803254.45</v>
      </c>
      <c r="I595" s="135">
        <v>1140</v>
      </c>
      <c r="J595" s="136">
        <f>Tabla3[[#This Row],[EGRESOS]]/Tabla3[[#This Row],[TC]]</f>
        <v>704.60916666666662</v>
      </c>
      <c r="K595" s="136">
        <f>Tabla3[[#This Row],[INGRESOS]]/Tabla3[[#This Row],[TC]]</f>
        <v>0</v>
      </c>
      <c r="L595" s="8" t="s">
        <v>303</v>
      </c>
      <c r="M595" s="8" t="s">
        <v>504</v>
      </c>
      <c r="N595" s="8" t="s">
        <v>20</v>
      </c>
      <c r="O595" s="8" t="s">
        <v>184</v>
      </c>
      <c r="P595" s="8" t="s">
        <v>191</v>
      </c>
      <c r="Q595" s="8" t="s">
        <v>193</v>
      </c>
      <c r="R595" s="8" t="s">
        <v>514</v>
      </c>
      <c r="S595" s="8" t="s">
        <v>313</v>
      </c>
      <c r="T595" s="8"/>
      <c r="U595" s="8" t="s">
        <v>266</v>
      </c>
      <c r="V595" s="8"/>
      <c r="W595" s="8" t="s">
        <v>306</v>
      </c>
      <c r="X595" s="7" t="s">
        <v>98</v>
      </c>
      <c r="Y595" s="8" t="s">
        <v>23</v>
      </c>
    </row>
    <row r="596" spans="1:25" s="7" customFormat="1" hidden="1" x14ac:dyDescent="0.25">
      <c r="A596" s="283" t="s">
        <v>235</v>
      </c>
      <c r="B596" s="260">
        <v>45737</v>
      </c>
      <c r="C596" s="261" t="s">
        <v>503</v>
      </c>
      <c r="D596" s="261"/>
      <c r="E596" s="262">
        <v>828399.51</v>
      </c>
      <c r="F596" s="262">
        <v>0</v>
      </c>
      <c r="G596" s="285">
        <f>Tabla3[[#This Row],[INGRESOS]]-Tabla3[[#This Row],[EGRESOS]]</f>
        <v>-828399.51</v>
      </c>
      <c r="H596" s="137">
        <v>-1631653.96</v>
      </c>
      <c r="I596" s="135">
        <v>1140</v>
      </c>
      <c r="J596" s="136">
        <f>Tabla3[[#This Row],[EGRESOS]]/Tabla3[[#This Row],[TC]]</f>
        <v>726.66623684210526</v>
      </c>
      <c r="K596" s="136">
        <f>Tabla3[[#This Row],[INGRESOS]]/Tabla3[[#This Row],[TC]]</f>
        <v>0</v>
      </c>
      <c r="L596" s="8" t="s">
        <v>303</v>
      </c>
      <c r="M596" s="8" t="s">
        <v>504</v>
      </c>
      <c r="N596" s="8" t="s">
        <v>20</v>
      </c>
      <c r="O596" s="8" t="s">
        <v>184</v>
      </c>
      <c r="P596" s="8" t="s">
        <v>191</v>
      </c>
      <c r="Q596" s="8" t="s">
        <v>193</v>
      </c>
      <c r="R596" s="8" t="s">
        <v>515</v>
      </c>
      <c r="S596" s="8" t="s">
        <v>313</v>
      </c>
      <c r="T596" s="8"/>
      <c r="U596" s="8" t="s">
        <v>266</v>
      </c>
      <c r="V596" s="8"/>
      <c r="W596" s="8" t="s">
        <v>306</v>
      </c>
      <c r="X596" s="7" t="s">
        <v>98</v>
      </c>
      <c r="Y596" s="8" t="s">
        <v>23</v>
      </c>
    </row>
    <row r="597" spans="1:25" s="7" customFormat="1" hidden="1" x14ac:dyDescent="0.25">
      <c r="A597" s="283" t="s">
        <v>235</v>
      </c>
      <c r="B597" s="260">
        <v>45737</v>
      </c>
      <c r="C597" s="261" t="s">
        <v>637</v>
      </c>
      <c r="D597" s="261"/>
      <c r="E597" s="262">
        <v>4819.53</v>
      </c>
      <c r="F597" s="262">
        <v>0</v>
      </c>
      <c r="G597" s="285">
        <f>Tabla3[[#This Row],[INGRESOS]]-Tabla3[[#This Row],[EGRESOS]]</f>
        <v>-4819.53</v>
      </c>
      <c r="H597" s="137">
        <v>-1636473.49</v>
      </c>
      <c r="I597" s="135">
        <v>1140</v>
      </c>
      <c r="J597" s="136">
        <f>Tabla3[[#This Row],[EGRESOS]]/Tabla3[[#This Row],[TC]]</f>
        <v>4.2276578947368417</v>
      </c>
      <c r="K597" s="136">
        <f>Tabla3[[#This Row],[INGRESOS]]/Tabla3[[#This Row],[TC]]</f>
        <v>0</v>
      </c>
      <c r="L597" s="8" t="s">
        <v>303</v>
      </c>
      <c r="M597" s="8" t="s">
        <v>504</v>
      </c>
      <c r="N597" s="8" t="s">
        <v>20</v>
      </c>
      <c r="O597" s="8" t="s">
        <v>184</v>
      </c>
      <c r="P597" s="8" t="s">
        <v>187</v>
      </c>
      <c r="Q597" s="8" t="s">
        <v>188</v>
      </c>
      <c r="R597" s="8" t="s">
        <v>317</v>
      </c>
      <c r="S597" s="8"/>
      <c r="T597" s="8"/>
      <c r="U597" s="8" t="s">
        <v>261</v>
      </c>
      <c r="V597" s="8"/>
      <c r="W597" s="8" t="s">
        <v>306</v>
      </c>
      <c r="X597" s="8" t="s">
        <v>98</v>
      </c>
      <c r="Y597" s="8" t="s">
        <v>23</v>
      </c>
    </row>
    <row r="598" spans="1:25" s="7" customFormat="1" hidden="1" x14ac:dyDescent="0.25">
      <c r="A598" s="283" t="s">
        <v>235</v>
      </c>
      <c r="B598" s="260">
        <v>45737</v>
      </c>
      <c r="C598" s="261" t="s">
        <v>637</v>
      </c>
      <c r="D598" s="261"/>
      <c r="E598" s="262">
        <v>4970.3999999999996</v>
      </c>
      <c r="F598" s="262">
        <v>0</v>
      </c>
      <c r="G598" s="285">
        <f>Tabla3[[#This Row],[INGRESOS]]-Tabla3[[#This Row],[EGRESOS]]</f>
        <v>-4970.3999999999996</v>
      </c>
      <c r="H598" s="137">
        <v>-1641443.89</v>
      </c>
      <c r="I598" s="135">
        <v>1140</v>
      </c>
      <c r="J598" s="136">
        <f>Tabla3[[#This Row],[EGRESOS]]/Tabla3[[#This Row],[TC]]</f>
        <v>4.3599999999999994</v>
      </c>
      <c r="K598" s="136">
        <f>Tabla3[[#This Row],[INGRESOS]]/Tabla3[[#This Row],[TC]]</f>
        <v>0</v>
      </c>
      <c r="L598" s="8" t="s">
        <v>303</v>
      </c>
      <c r="M598" s="8" t="s">
        <v>504</v>
      </c>
      <c r="N598" s="8" t="s">
        <v>20</v>
      </c>
      <c r="O598" s="8" t="s">
        <v>184</v>
      </c>
      <c r="P598" s="8" t="s">
        <v>187</v>
      </c>
      <c r="Q598" s="8" t="s">
        <v>188</v>
      </c>
      <c r="R598" s="8" t="s">
        <v>317</v>
      </c>
      <c r="S598" s="8"/>
      <c r="T598" s="8"/>
      <c r="U598" s="8" t="s">
        <v>261</v>
      </c>
      <c r="V598" s="8"/>
      <c r="W598" s="8" t="s">
        <v>306</v>
      </c>
      <c r="X598" s="8" t="s">
        <v>98</v>
      </c>
      <c r="Y598" s="8" t="s">
        <v>23</v>
      </c>
    </row>
    <row r="599" spans="1:25" s="7" customFormat="1" hidden="1" x14ac:dyDescent="0.25">
      <c r="A599" s="256" t="s">
        <v>235</v>
      </c>
      <c r="B599" s="257">
        <v>45737</v>
      </c>
      <c r="C599" s="250" t="s">
        <v>506</v>
      </c>
      <c r="D599" s="250"/>
      <c r="E599" s="262">
        <v>0</v>
      </c>
      <c r="F599" s="258">
        <v>1641443.89</v>
      </c>
      <c r="G599" s="276">
        <f>Tabla3[[#This Row],[INGRESOS]]-Tabla3[[#This Row],[EGRESOS]]</f>
        <v>1641443.89</v>
      </c>
      <c r="H599" s="132">
        <v>0</v>
      </c>
      <c r="I599" s="119">
        <v>1140</v>
      </c>
      <c r="J599" s="99">
        <f>Tabla3[[#This Row],[EGRESOS]]/Tabla3[[#This Row],[TC]]</f>
        <v>0</v>
      </c>
      <c r="K599" s="99">
        <f>Tabla3[[#This Row],[INGRESOS]]/Tabla3[[#This Row],[TC]]</f>
        <v>1439.8630614035087</v>
      </c>
      <c r="L599" s="7" t="s">
        <v>303</v>
      </c>
      <c r="M599" s="7" t="s">
        <v>504</v>
      </c>
      <c r="N599" s="7" t="s">
        <v>20</v>
      </c>
      <c r="O599" s="7" t="s">
        <v>214</v>
      </c>
      <c r="P599" s="7" t="s">
        <v>216</v>
      </c>
      <c r="Q599" s="7" t="s">
        <v>217</v>
      </c>
      <c r="R599" s="7" t="s">
        <v>388</v>
      </c>
      <c r="U599" s="7" t="s">
        <v>262</v>
      </c>
      <c r="W599" s="7" t="s">
        <v>306</v>
      </c>
    </row>
    <row r="600" spans="1:25" s="7" customFormat="1" hidden="1" x14ac:dyDescent="0.25">
      <c r="A600" s="256" t="s">
        <v>235</v>
      </c>
      <c r="B600" s="257">
        <v>45744</v>
      </c>
      <c r="C600" s="250" t="s">
        <v>507</v>
      </c>
      <c r="D600" s="250"/>
      <c r="E600" s="262">
        <v>8757</v>
      </c>
      <c r="F600" s="258">
        <v>0</v>
      </c>
      <c r="G600" s="276">
        <f>Tabla3[[#This Row],[INGRESOS]]-Tabla3[[#This Row],[EGRESOS]]</f>
        <v>-8757</v>
      </c>
      <c r="H600" s="132">
        <v>-8757</v>
      </c>
      <c r="I600" s="119">
        <v>1140</v>
      </c>
      <c r="J600" s="99">
        <f>Tabla3[[#This Row],[EGRESOS]]/Tabla3[[#This Row],[TC]]</f>
        <v>7.6815789473684211</v>
      </c>
      <c r="K600" s="99">
        <f>Tabla3[[#This Row],[INGRESOS]]/Tabla3[[#This Row],[TC]]</f>
        <v>0</v>
      </c>
      <c r="L600" s="7" t="s">
        <v>303</v>
      </c>
      <c r="M600" s="7" t="s">
        <v>504</v>
      </c>
      <c r="N600" s="7" t="s">
        <v>20</v>
      </c>
      <c r="O600" s="7" t="s">
        <v>184</v>
      </c>
      <c r="P600" s="7" t="s">
        <v>187</v>
      </c>
      <c r="Q600" s="7" t="s">
        <v>188</v>
      </c>
      <c r="R600" s="7" t="s">
        <v>317</v>
      </c>
      <c r="U600" s="7" t="s">
        <v>261</v>
      </c>
      <c r="W600" s="7" t="s">
        <v>306</v>
      </c>
      <c r="X600" s="7" t="s">
        <v>98</v>
      </c>
      <c r="Y600" s="7" t="s">
        <v>23</v>
      </c>
    </row>
    <row r="601" spans="1:25" s="7" customFormat="1" hidden="1" x14ac:dyDescent="0.25">
      <c r="A601" s="256" t="s">
        <v>235</v>
      </c>
      <c r="B601" s="257">
        <v>45744</v>
      </c>
      <c r="C601" s="250" t="s">
        <v>508</v>
      </c>
      <c r="D601" s="250"/>
      <c r="E601" s="262">
        <v>1251</v>
      </c>
      <c r="F601" s="258">
        <v>0</v>
      </c>
      <c r="G601" s="276">
        <f>Tabla3[[#This Row],[INGRESOS]]-Tabla3[[#This Row],[EGRESOS]]</f>
        <v>-1251</v>
      </c>
      <c r="H601" s="132">
        <v>-10008</v>
      </c>
      <c r="I601" s="119">
        <v>1140</v>
      </c>
      <c r="J601" s="99">
        <f>Tabla3[[#This Row],[EGRESOS]]/Tabla3[[#This Row],[TC]]</f>
        <v>1.0973684210526315</v>
      </c>
      <c r="K601" s="99">
        <f>Tabla3[[#This Row],[INGRESOS]]/Tabla3[[#This Row],[TC]]</f>
        <v>0</v>
      </c>
      <c r="L601" s="7" t="s">
        <v>303</v>
      </c>
      <c r="M601" s="7" t="s">
        <v>504</v>
      </c>
      <c r="N601" s="7" t="s">
        <v>20</v>
      </c>
      <c r="O601" s="7" t="s">
        <v>184</v>
      </c>
      <c r="P601" s="7" t="s">
        <v>187</v>
      </c>
      <c r="Q601" s="7" t="s">
        <v>188</v>
      </c>
      <c r="R601" s="7" t="s">
        <v>317</v>
      </c>
      <c r="U601" s="7" t="s">
        <v>261</v>
      </c>
      <c r="W601" s="7" t="s">
        <v>306</v>
      </c>
      <c r="X601" s="7" t="s">
        <v>98</v>
      </c>
      <c r="Y601" s="7" t="s">
        <v>23</v>
      </c>
    </row>
    <row r="602" spans="1:25" s="7" customFormat="1" hidden="1" x14ac:dyDescent="0.25">
      <c r="A602" s="256" t="s">
        <v>235</v>
      </c>
      <c r="B602" s="257">
        <v>45744</v>
      </c>
      <c r="C602" s="250" t="s">
        <v>511</v>
      </c>
      <c r="D602" s="250"/>
      <c r="E602" s="262">
        <v>41700</v>
      </c>
      <c r="F602" s="258">
        <v>0</v>
      </c>
      <c r="G602" s="276">
        <f>Tabla3[[#This Row],[INGRESOS]]-Tabla3[[#This Row],[EGRESOS]]</f>
        <v>-41700</v>
      </c>
      <c r="H602" s="132">
        <v>-51708</v>
      </c>
      <c r="I602" s="119">
        <v>1140</v>
      </c>
      <c r="J602" s="99">
        <f>Tabla3[[#This Row],[EGRESOS]]/Tabla3[[#This Row],[TC]]</f>
        <v>36.578947368421055</v>
      </c>
      <c r="K602" s="99">
        <f>Tabla3[[#This Row],[INGRESOS]]/Tabla3[[#This Row],[TC]]</f>
        <v>0</v>
      </c>
      <c r="L602" s="7" t="s">
        <v>303</v>
      </c>
      <c r="M602" s="7" t="s">
        <v>504</v>
      </c>
      <c r="N602" s="7" t="s">
        <v>20</v>
      </c>
      <c r="O602" s="7" t="s">
        <v>184</v>
      </c>
      <c r="P602" s="7" t="s">
        <v>185</v>
      </c>
      <c r="Q602" s="7" t="s">
        <v>186</v>
      </c>
      <c r="R602" s="7" t="s">
        <v>211</v>
      </c>
      <c r="U602" s="7" t="s">
        <v>261</v>
      </c>
      <c r="W602" s="7" t="s">
        <v>306</v>
      </c>
      <c r="X602" s="7" t="s">
        <v>98</v>
      </c>
      <c r="Y602" s="7" t="s">
        <v>23</v>
      </c>
    </row>
    <row r="603" spans="1:25" s="7" customFormat="1" hidden="1" x14ac:dyDescent="0.25">
      <c r="A603" s="256" t="s">
        <v>235</v>
      </c>
      <c r="B603" s="257">
        <v>45744</v>
      </c>
      <c r="C603" s="250" t="s">
        <v>506</v>
      </c>
      <c r="D603" s="250"/>
      <c r="E603" s="262">
        <v>0</v>
      </c>
      <c r="F603" s="258">
        <v>52018.25</v>
      </c>
      <c r="G603" s="276">
        <f>Tabla3[[#This Row],[INGRESOS]]-Tabla3[[#This Row],[EGRESOS]]</f>
        <v>52018.25</v>
      </c>
      <c r="H603" s="132">
        <v>0</v>
      </c>
      <c r="I603" s="119">
        <v>1140</v>
      </c>
      <c r="J603" s="99">
        <f>Tabla3[[#This Row],[EGRESOS]]/Tabla3[[#This Row],[TC]]</f>
        <v>0</v>
      </c>
      <c r="K603" s="99">
        <f>Tabla3[[#This Row],[INGRESOS]]/Tabla3[[#This Row],[TC]]</f>
        <v>45.63004385964912</v>
      </c>
      <c r="L603" s="7" t="s">
        <v>303</v>
      </c>
      <c r="M603" s="7" t="s">
        <v>504</v>
      </c>
      <c r="N603" s="7" t="s">
        <v>20</v>
      </c>
      <c r="O603" s="7" t="s">
        <v>214</v>
      </c>
      <c r="P603" s="7" t="s">
        <v>216</v>
      </c>
      <c r="Q603" s="7" t="s">
        <v>217</v>
      </c>
      <c r="R603" s="7" t="s">
        <v>305</v>
      </c>
      <c r="U603" s="7" t="s">
        <v>262</v>
      </c>
      <c r="W603" s="7" t="s">
        <v>306</v>
      </c>
    </row>
    <row r="604" spans="1:25" s="7" customFormat="1" hidden="1" x14ac:dyDescent="0.25">
      <c r="A604" s="256" t="s">
        <v>235</v>
      </c>
      <c r="B604" s="257">
        <v>45744</v>
      </c>
      <c r="C604" s="250" t="s">
        <v>637</v>
      </c>
      <c r="D604" s="250"/>
      <c r="E604" s="262">
        <v>310.25</v>
      </c>
      <c r="F604" s="258">
        <v>0</v>
      </c>
      <c r="G604" s="276">
        <f>Tabla3[[#This Row],[INGRESOS]]-Tabla3[[#This Row],[EGRESOS]]</f>
        <v>-310.25</v>
      </c>
      <c r="H604" s="132">
        <v>0</v>
      </c>
      <c r="I604" s="119">
        <v>1140</v>
      </c>
      <c r="J604" s="99">
        <f>Tabla3[[#This Row],[EGRESOS]]/Tabla3[[#This Row],[TC]]</f>
        <v>0.27214912280701753</v>
      </c>
      <c r="K604" s="99">
        <f>Tabla3[[#This Row],[INGRESOS]]/Tabla3[[#This Row],[TC]]</f>
        <v>0</v>
      </c>
      <c r="L604" s="7" t="s">
        <v>303</v>
      </c>
      <c r="M604" s="7" t="s">
        <v>504</v>
      </c>
      <c r="N604" s="7" t="s">
        <v>20</v>
      </c>
      <c r="O604" s="7" t="s">
        <v>184</v>
      </c>
      <c r="P604" s="7" t="s">
        <v>187</v>
      </c>
      <c r="Q604" s="7" t="s">
        <v>188</v>
      </c>
      <c r="R604" s="7" t="s">
        <v>317</v>
      </c>
      <c r="U604" s="7" t="s">
        <v>261</v>
      </c>
      <c r="W604" s="7" t="s">
        <v>306</v>
      </c>
      <c r="X604" s="7" t="s">
        <v>98</v>
      </c>
      <c r="Y604" s="7" t="s">
        <v>23</v>
      </c>
    </row>
    <row r="605" spans="1:25" s="7" customFormat="1" hidden="1" x14ac:dyDescent="0.25">
      <c r="A605" s="283" t="s">
        <v>242</v>
      </c>
      <c r="B605" s="260">
        <v>45776</v>
      </c>
      <c r="C605" s="261" t="s">
        <v>506</v>
      </c>
      <c r="D605" s="261"/>
      <c r="E605" s="262">
        <v>0</v>
      </c>
      <c r="F605" s="262">
        <v>57040</v>
      </c>
      <c r="G605" s="285">
        <f>Tabla3[[#This Row],[INGRESOS]]-Tabla3[[#This Row],[EGRESOS]]</f>
        <v>57040</v>
      </c>
      <c r="H605" s="137">
        <v>57040</v>
      </c>
      <c r="I605" s="135">
        <v>1140</v>
      </c>
      <c r="J605" s="136">
        <f>Tabla3[[#This Row],[EGRESOS]]/Tabla3[[#This Row],[TC]]</f>
        <v>0</v>
      </c>
      <c r="K605" s="136">
        <f>Tabla3[[#This Row],[INGRESOS]]/Tabla3[[#This Row],[TC]]</f>
        <v>50.035087719298247</v>
      </c>
      <c r="L605" s="8" t="s">
        <v>303</v>
      </c>
      <c r="M605" s="8" t="s">
        <v>504</v>
      </c>
      <c r="N605" s="8" t="s">
        <v>20</v>
      </c>
      <c r="O605" s="8" t="s">
        <v>214</v>
      </c>
      <c r="P605" s="8" t="s">
        <v>216</v>
      </c>
      <c r="Q605" s="8" t="s">
        <v>217</v>
      </c>
      <c r="R605" s="8" t="s">
        <v>388</v>
      </c>
      <c r="S605" s="8"/>
      <c r="T605" s="8"/>
      <c r="U605" s="8" t="s">
        <v>262</v>
      </c>
      <c r="V605" s="8"/>
      <c r="W605" s="8" t="s">
        <v>306</v>
      </c>
      <c r="X605" s="8"/>
      <c r="Y605" s="8"/>
    </row>
    <row r="606" spans="1:25" s="7" customFormat="1" hidden="1" x14ac:dyDescent="0.25">
      <c r="A606" s="283" t="s">
        <v>242</v>
      </c>
      <c r="B606" s="260">
        <v>45777</v>
      </c>
      <c r="C606" s="261" t="s">
        <v>507</v>
      </c>
      <c r="D606" s="261"/>
      <c r="E606" s="262">
        <v>9660</v>
      </c>
      <c r="F606" s="262">
        <v>0</v>
      </c>
      <c r="G606" s="285">
        <f>Tabla3[[#This Row],[INGRESOS]]-Tabla3[[#This Row],[EGRESOS]]</f>
        <v>-9660</v>
      </c>
      <c r="H606" s="137">
        <v>47380</v>
      </c>
      <c r="I606" s="135">
        <v>1140</v>
      </c>
      <c r="J606" s="136">
        <f>Tabla3[[#This Row],[EGRESOS]]/Tabla3[[#This Row],[TC]]</f>
        <v>8.473684210526315</v>
      </c>
      <c r="K606" s="136">
        <f>Tabla3[[#This Row],[INGRESOS]]/Tabla3[[#This Row],[TC]]</f>
        <v>0</v>
      </c>
      <c r="L606" s="8" t="s">
        <v>303</v>
      </c>
      <c r="M606" s="8" t="s">
        <v>504</v>
      </c>
      <c r="N606" s="8" t="s">
        <v>20</v>
      </c>
      <c r="O606" s="8" t="s">
        <v>184</v>
      </c>
      <c r="P606" s="8" t="s">
        <v>187</v>
      </c>
      <c r="Q606" s="8" t="s">
        <v>188</v>
      </c>
      <c r="R606" s="8" t="s">
        <v>317</v>
      </c>
      <c r="S606" s="8"/>
      <c r="T606" s="8"/>
      <c r="U606" s="8" t="s">
        <v>261</v>
      </c>
      <c r="V606" s="8"/>
      <c r="W606" s="8" t="s">
        <v>306</v>
      </c>
      <c r="X606" s="8" t="s">
        <v>98</v>
      </c>
      <c r="Y606" s="8" t="s">
        <v>23</v>
      </c>
    </row>
    <row r="607" spans="1:25" s="7" customFormat="1" hidden="1" x14ac:dyDescent="0.25">
      <c r="A607" s="283" t="s">
        <v>242</v>
      </c>
      <c r="B607" s="260">
        <v>45777</v>
      </c>
      <c r="C607" s="261" t="s">
        <v>508</v>
      </c>
      <c r="D607" s="261"/>
      <c r="E607" s="262">
        <v>1380</v>
      </c>
      <c r="F607" s="262">
        <v>0</v>
      </c>
      <c r="G607" s="285">
        <f>Tabla3[[#This Row],[INGRESOS]]-Tabla3[[#This Row],[EGRESOS]]</f>
        <v>-1380</v>
      </c>
      <c r="H607" s="137">
        <v>46000</v>
      </c>
      <c r="I607" s="135">
        <v>1140</v>
      </c>
      <c r="J607" s="136">
        <f>Tabla3[[#This Row],[EGRESOS]]/Tabla3[[#This Row],[TC]]</f>
        <v>1.2105263157894737</v>
      </c>
      <c r="K607" s="136">
        <f>Tabla3[[#This Row],[INGRESOS]]/Tabla3[[#This Row],[TC]]</f>
        <v>0</v>
      </c>
      <c r="L607" s="8" t="s">
        <v>303</v>
      </c>
      <c r="M607" s="8" t="s">
        <v>504</v>
      </c>
      <c r="N607" s="8" t="s">
        <v>20</v>
      </c>
      <c r="O607" s="8" t="s">
        <v>184</v>
      </c>
      <c r="P607" s="8" t="s">
        <v>187</v>
      </c>
      <c r="Q607" s="8" t="s">
        <v>188</v>
      </c>
      <c r="R607" s="8" t="s">
        <v>317</v>
      </c>
      <c r="S607" s="8"/>
      <c r="T607" s="8"/>
      <c r="U607" s="8" t="s">
        <v>261</v>
      </c>
      <c r="V607" s="8"/>
      <c r="W607" s="8" t="s">
        <v>306</v>
      </c>
      <c r="X607" s="8" t="s">
        <v>98</v>
      </c>
      <c r="Y607" s="8" t="s">
        <v>23</v>
      </c>
    </row>
    <row r="608" spans="1:25" s="7" customFormat="1" hidden="1" x14ac:dyDescent="0.25">
      <c r="A608" s="283" t="s">
        <v>242</v>
      </c>
      <c r="B608" s="260">
        <v>45777</v>
      </c>
      <c r="C608" s="261" t="s">
        <v>511</v>
      </c>
      <c r="D608" s="261"/>
      <c r="E608" s="262">
        <v>46000</v>
      </c>
      <c r="F608" s="262">
        <v>0</v>
      </c>
      <c r="G608" s="285">
        <f>Tabla3[[#This Row],[INGRESOS]]-Tabla3[[#This Row],[EGRESOS]]</f>
        <v>-46000</v>
      </c>
      <c r="H608" s="137">
        <v>0</v>
      </c>
      <c r="I608" s="135">
        <v>1140</v>
      </c>
      <c r="J608" s="136">
        <f>Tabla3[[#This Row],[EGRESOS]]/Tabla3[[#This Row],[TC]]</f>
        <v>40.350877192982459</v>
      </c>
      <c r="K608" s="136">
        <f>Tabla3[[#This Row],[INGRESOS]]/Tabla3[[#This Row],[TC]]</f>
        <v>0</v>
      </c>
      <c r="L608" s="8" t="s">
        <v>303</v>
      </c>
      <c r="M608" s="8" t="s">
        <v>504</v>
      </c>
      <c r="N608" s="8" t="s">
        <v>20</v>
      </c>
      <c r="O608" s="8" t="s">
        <v>184</v>
      </c>
      <c r="P608" s="8" t="s">
        <v>185</v>
      </c>
      <c r="Q608" s="8" t="s">
        <v>186</v>
      </c>
      <c r="R608" s="8" t="s">
        <v>211</v>
      </c>
      <c r="S608" s="8"/>
      <c r="T608" s="8"/>
      <c r="U608" s="8" t="s">
        <v>261</v>
      </c>
      <c r="V608" s="8"/>
      <c r="W608" s="8" t="s">
        <v>306</v>
      </c>
      <c r="X608" s="8" t="s">
        <v>98</v>
      </c>
      <c r="Y608" s="8" t="s">
        <v>23</v>
      </c>
    </row>
    <row r="609" spans="1:25" s="7" customFormat="1" hidden="1" x14ac:dyDescent="0.25">
      <c r="A609" s="283" t="s">
        <v>242</v>
      </c>
      <c r="B609" s="260">
        <v>45777</v>
      </c>
      <c r="C609" s="261" t="s">
        <v>506</v>
      </c>
      <c r="D609" s="261"/>
      <c r="E609" s="262">
        <v>0</v>
      </c>
      <c r="F609" s="262">
        <v>342.24</v>
      </c>
      <c r="G609" s="285">
        <f>Tabla3[[#This Row],[INGRESOS]]-Tabla3[[#This Row],[EGRESOS]]</f>
        <v>342.24</v>
      </c>
      <c r="H609" s="137">
        <v>342.24</v>
      </c>
      <c r="I609" s="135">
        <v>1140</v>
      </c>
      <c r="J609" s="136">
        <f>Tabla3[[#This Row],[EGRESOS]]/Tabla3[[#This Row],[TC]]</f>
        <v>0</v>
      </c>
      <c r="K609" s="136">
        <f>Tabla3[[#This Row],[INGRESOS]]/Tabla3[[#This Row],[TC]]</f>
        <v>0.30021052631578948</v>
      </c>
      <c r="L609" s="8" t="s">
        <v>303</v>
      </c>
      <c r="M609" s="8" t="s">
        <v>504</v>
      </c>
      <c r="N609" s="8" t="s">
        <v>20</v>
      </c>
      <c r="O609" s="8" t="s">
        <v>214</v>
      </c>
      <c r="P609" s="8" t="s">
        <v>216</v>
      </c>
      <c r="Q609" s="8" t="s">
        <v>217</v>
      </c>
      <c r="R609" s="8" t="s">
        <v>305</v>
      </c>
      <c r="S609" s="8"/>
      <c r="T609" s="8"/>
      <c r="U609" s="8" t="s">
        <v>262</v>
      </c>
      <c r="V609" s="8"/>
      <c r="W609" s="8" t="s">
        <v>306</v>
      </c>
      <c r="X609" s="8"/>
      <c r="Y609" s="8"/>
    </row>
    <row r="610" spans="1:25" s="7" customFormat="1" hidden="1" x14ac:dyDescent="0.25">
      <c r="A610" s="283" t="s">
        <v>247</v>
      </c>
      <c r="B610" s="260">
        <v>45782</v>
      </c>
      <c r="C610" s="261" t="s">
        <v>637</v>
      </c>
      <c r="D610" s="261"/>
      <c r="E610" s="262">
        <v>342.24</v>
      </c>
      <c r="F610" s="262">
        <v>0</v>
      </c>
      <c r="G610" s="285">
        <f>Tabla3[[#This Row],[INGRESOS]]-Tabla3[[#This Row],[EGRESOS]]</f>
        <v>-342.24</v>
      </c>
      <c r="H610" s="137">
        <v>0</v>
      </c>
      <c r="I610" s="135">
        <v>1140</v>
      </c>
      <c r="J610" s="136">
        <f>Tabla3[[#This Row],[EGRESOS]]/Tabla3[[#This Row],[TC]]</f>
        <v>0.30021052631578948</v>
      </c>
      <c r="K610" s="136">
        <f>Tabla3[[#This Row],[INGRESOS]]/Tabla3[[#This Row],[TC]]</f>
        <v>0</v>
      </c>
      <c r="L610" s="8" t="s">
        <v>303</v>
      </c>
      <c r="M610" s="8" t="s">
        <v>504</v>
      </c>
      <c r="N610" s="8" t="s">
        <v>20</v>
      </c>
      <c r="O610" s="8" t="s">
        <v>184</v>
      </c>
      <c r="P610" s="8" t="s">
        <v>187</v>
      </c>
      <c r="Q610" s="8" t="s">
        <v>188</v>
      </c>
      <c r="R610" s="8" t="s">
        <v>317</v>
      </c>
      <c r="S610" s="8"/>
      <c r="T610" s="8"/>
      <c r="U610" s="8" t="s">
        <v>261</v>
      </c>
      <c r="V610" s="8"/>
      <c r="W610" s="8" t="s">
        <v>306</v>
      </c>
      <c r="X610" s="8" t="s">
        <v>98</v>
      </c>
      <c r="Y610" s="8" t="s">
        <v>23</v>
      </c>
    </row>
    <row r="611" spans="1:25" s="7" customFormat="1" hidden="1" x14ac:dyDescent="0.25">
      <c r="A611" s="283" t="s">
        <v>247</v>
      </c>
      <c r="B611" s="260">
        <v>45793</v>
      </c>
      <c r="C611" s="261" t="s">
        <v>503</v>
      </c>
      <c r="D611" s="261"/>
      <c r="E611" s="262">
        <v>949046.55</v>
      </c>
      <c r="F611" s="262">
        <v>0</v>
      </c>
      <c r="G611" s="285">
        <f>Tabla3[[#This Row],[INGRESOS]]-Tabla3[[#This Row],[EGRESOS]]</f>
        <v>-949046.55</v>
      </c>
      <c r="H611" s="137">
        <v>-949046.55</v>
      </c>
      <c r="I611" s="135">
        <v>1140</v>
      </c>
      <c r="J611" s="136">
        <f>Tabla3[[#This Row],[EGRESOS]]/Tabla3[[#This Row],[TC]]</f>
        <v>832.49697368421062</v>
      </c>
      <c r="K611" s="136">
        <f>Tabla3[[#This Row],[INGRESOS]]/Tabla3[[#This Row],[TC]]</f>
        <v>0</v>
      </c>
      <c r="L611" s="8" t="s">
        <v>303</v>
      </c>
      <c r="M611" s="8" t="s">
        <v>504</v>
      </c>
      <c r="N611" s="8" t="s">
        <v>20</v>
      </c>
      <c r="O611" s="8" t="s">
        <v>184</v>
      </c>
      <c r="P611" s="8" t="s">
        <v>191</v>
      </c>
      <c r="Q611" s="8" t="s">
        <v>193</v>
      </c>
      <c r="R611" s="8" t="s">
        <v>516</v>
      </c>
      <c r="S611" s="8" t="s">
        <v>313</v>
      </c>
      <c r="T611" s="8"/>
      <c r="U611" s="8" t="s">
        <v>266</v>
      </c>
      <c r="V611" s="8"/>
      <c r="W611" s="8" t="s">
        <v>306</v>
      </c>
      <c r="X611" s="8" t="s">
        <v>98</v>
      </c>
      <c r="Y611" s="8" t="s">
        <v>23</v>
      </c>
    </row>
    <row r="612" spans="1:25" s="7" customFormat="1" hidden="1" x14ac:dyDescent="0.25">
      <c r="A612" s="283" t="s">
        <v>247</v>
      </c>
      <c r="B612" s="260">
        <v>45793</v>
      </c>
      <c r="C612" s="261" t="s">
        <v>503</v>
      </c>
      <c r="D612" s="261"/>
      <c r="E612" s="262">
        <v>687395.42</v>
      </c>
      <c r="F612" s="262">
        <v>0</v>
      </c>
      <c r="G612" s="285">
        <f>Tabla3[[#This Row],[INGRESOS]]-Tabla3[[#This Row],[EGRESOS]]</f>
        <v>-687395.42</v>
      </c>
      <c r="H612" s="137">
        <v>-1636441.97</v>
      </c>
      <c r="I612" s="135">
        <v>1140</v>
      </c>
      <c r="J612" s="136">
        <f>Tabla3[[#This Row],[EGRESOS]]/Tabla3[[#This Row],[TC]]</f>
        <v>602.97843859649129</v>
      </c>
      <c r="K612" s="136">
        <f>Tabla3[[#This Row],[INGRESOS]]/Tabla3[[#This Row],[TC]]</f>
        <v>0</v>
      </c>
      <c r="L612" s="8" t="s">
        <v>303</v>
      </c>
      <c r="M612" s="8" t="s">
        <v>504</v>
      </c>
      <c r="N612" s="8" t="s">
        <v>20</v>
      </c>
      <c r="O612" s="8" t="s">
        <v>184</v>
      </c>
      <c r="P612" s="8" t="s">
        <v>191</v>
      </c>
      <c r="Q612" s="8" t="s">
        <v>193</v>
      </c>
      <c r="R612" s="8" t="s">
        <v>517</v>
      </c>
      <c r="S612" s="8" t="s">
        <v>313</v>
      </c>
      <c r="T612" s="8"/>
      <c r="U612" s="8" t="s">
        <v>266</v>
      </c>
      <c r="V612" s="8"/>
      <c r="W612" s="8" t="s">
        <v>306</v>
      </c>
      <c r="X612" s="8" t="s">
        <v>98</v>
      </c>
      <c r="Y612" s="8" t="s">
        <v>23</v>
      </c>
    </row>
    <row r="613" spans="1:25" s="7" customFormat="1" hidden="1" x14ac:dyDescent="0.25">
      <c r="A613" s="283" t="s">
        <v>247</v>
      </c>
      <c r="B613" s="260">
        <v>45793</v>
      </c>
      <c r="C613" s="261" t="s">
        <v>637</v>
      </c>
      <c r="D613" s="261"/>
      <c r="E613" s="262">
        <v>5694.28</v>
      </c>
      <c r="F613" s="262">
        <v>0</v>
      </c>
      <c r="G613" s="285">
        <f>Tabla3[[#This Row],[INGRESOS]]-Tabla3[[#This Row],[EGRESOS]]</f>
        <v>-5694.28</v>
      </c>
      <c r="H613" s="137">
        <v>-1642136.25</v>
      </c>
      <c r="I613" s="135">
        <v>1140</v>
      </c>
      <c r="J613" s="136">
        <f>Tabla3[[#This Row],[EGRESOS]]/Tabla3[[#This Row],[TC]]</f>
        <v>4.9949824561403506</v>
      </c>
      <c r="K613" s="136">
        <f>Tabla3[[#This Row],[INGRESOS]]/Tabla3[[#This Row],[TC]]</f>
        <v>0</v>
      </c>
      <c r="L613" s="8" t="s">
        <v>303</v>
      </c>
      <c r="M613" s="8" t="s">
        <v>504</v>
      </c>
      <c r="N613" s="8" t="s">
        <v>20</v>
      </c>
      <c r="O613" s="8" t="s">
        <v>184</v>
      </c>
      <c r="P613" s="8" t="s">
        <v>187</v>
      </c>
      <c r="Q613" s="8" t="s">
        <v>188</v>
      </c>
      <c r="R613" s="8" t="s">
        <v>317</v>
      </c>
      <c r="S613" s="8"/>
      <c r="T613" s="8"/>
      <c r="U613" s="8" t="s">
        <v>261</v>
      </c>
      <c r="V613" s="8"/>
      <c r="W613" s="8" t="s">
        <v>306</v>
      </c>
      <c r="X613" s="8" t="s">
        <v>98</v>
      </c>
      <c r="Y613" s="8" t="s">
        <v>23</v>
      </c>
    </row>
    <row r="614" spans="1:25" s="7" customFormat="1" hidden="1" x14ac:dyDescent="0.25">
      <c r="A614" s="283" t="s">
        <v>247</v>
      </c>
      <c r="B614" s="260">
        <v>45793</v>
      </c>
      <c r="C614" s="261" t="s">
        <v>637</v>
      </c>
      <c r="D614" s="261"/>
      <c r="E614" s="262">
        <v>4124.37</v>
      </c>
      <c r="F614" s="262">
        <v>0</v>
      </c>
      <c r="G614" s="285">
        <f>Tabla3[[#This Row],[INGRESOS]]-Tabla3[[#This Row],[EGRESOS]]</f>
        <v>-4124.37</v>
      </c>
      <c r="H614" s="137">
        <v>-1646260.62</v>
      </c>
      <c r="I614" s="135">
        <v>1140</v>
      </c>
      <c r="J614" s="136">
        <f>Tabla3[[#This Row],[EGRESOS]]/Tabla3[[#This Row],[TC]]</f>
        <v>3.6178684210526315</v>
      </c>
      <c r="K614" s="136">
        <f>Tabla3[[#This Row],[INGRESOS]]/Tabla3[[#This Row],[TC]]</f>
        <v>0</v>
      </c>
      <c r="L614" s="8" t="s">
        <v>303</v>
      </c>
      <c r="M614" s="8" t="s">
        <v>504</v>
      </c>
      <c r="N614" s="8" t="s">
        <v>20</v>
      </c>
      <c r="O614" s="8" t="s">
        <v>184</v>
      </c>
      <c r="P614" s="8" t="s">
        <v>187</v>
      </c>
      <c r="Q614" s="8" t="s">
        <v>188</v>
      </c>
      <c r="R614" s="8" t="s">
        <v>317</v>
      </c>
      <c r="S614" s="8"/>
      <c r="T614" s="8"/>
      <c r="U614" s="8" t="s">
        <v>261</v>
      </c>
      <c r="V614" s="8"/>
      <c r="W614" s="8" t="s">
        <v>306</v>
      </c>
      <c r="X614" s="8" t="s">
        <v>98</v>
      </c>
      <c r="Y614" s="8" t="s">
        <v>23</v>
      </c>
    </row>
    <row r="615" spans="1:25" s="7" customFormat="1" hidden="1" x14ac:dyDescent="0.25">
      <c r="A615" s="283" t="s">
        <v>247</v>
      </c>
      <c r="B615" s="260">
        <v>45793</v>
      </c>
      <c r="C615" s="261" t="s">
        <v>506</v>
      </c>
      <c r="D615" s="261"/>
      <c r="E615" s="262">
        <v>0</v>
      </c>
      <c r="F615" s="262">
        <v>1646260.62</v>
      </c>
      <c r="G615" s="285">
        <f>Tabla3[[#This Row],[INGRESOS]]-Tabla3[[#This Row],[EGRESOS]]</f>
        <v>1646260.62</v>
      </c>
      <c r="H615" s="137">
        <v>0</v>
      </c>
      <c r="I615" s="135">
        <v>1140</v>
      </c>
      <c r="J615" s="136">
        <f>Tabla3[[#This Row],[EGRESOS]]/Tabla3[[#This Row],[TC]]</f>
        <v>0</v>
      </c>
      <c r="K615" s="136">
        <f>Tabla3[[#This Row],[INGRESOS]]/Tabla3[[#This Row],[TC]]</f>
        <v>1444.0882631578947</v>
      </c>
      <c r="L615" s="8" t="s">
        <v>303</v>
      </c>
      <c r="M615" s="8" t="s">
        <v>504</v>
      </c>
      <c r="N615" s="8" t="s">
        <v>20</v>
      </c>
      <c r="O615" s="8" t="s">
        <v>214</v>
      </c>
      <c r="P615" s="8" t="s">
        <v>216</v>
      </c>
      <c r="Q615" s="8" t="s">
        <v>217</v>
      </c>
      <c r="R615" s="8" t="s">
        <v>388</v>
      </c>
      <c r="S615" s="8"/>
      <c r="T615" s="8"/>
      <c r="U615" s="8" t="s">
        <v>262</v>
      </c>
      <c r="V615" s="8"/>
      <c r="W615" s="8" t="s">
        <v>306</v>
      </c>
      <c r="X615" s="8"/>
      <c r="Y615" s="8"/>
    </row>
    <row r="616" spans="1:25" s="7" customFormat="1" hidden="1" x14ac:dyDescent="0.25">
      <c r="A616" s="283" t="s">
        <v>247</v>
      </c>
      <c r="B616" s="260">
        <v>45806</v>
      </c>
      <c r="C616" s="261" t="s">
        <v>507</v>
      </c>
      <c r="D616" s="261"/>
      <c r="E616" s="262">
        <v>9660</v>
      </c>
      <c r="F616" s="262">
        <v>0</v>
      </c>
      <c r="G616" s="285">
        <f>Tabla3[[#This Row],[INGRESOS]]-Tabla3[[#This Row],[EGRESOS]]</f>
        <v>-9660</v>
      </c>
      <c r="H616" s="137">
        <v>-9660</v>
      </c>
      <c r="I616" s="135">
        <v>1141</v>
      </c>
      <c r="J616" s="136">
        <f>Tabla3[[#This Row],[EGRESOS]]/Tabla3[[#This Row],[TC]]</f>
        <v>8.4662576687116573</v>
      </c>
      <c r="K616" s="136">
        <f>Tabla3[[#This Row],[INGRESOS]]/Tabla3[[#This Row],[TC]]</f>
        <v>0</v>
      </c>
      <c r="L616" s="8" t="s">
        <v>303</v>
      </c>
      <c r="M616" s="8" t="s">
        <v>504</v>
      </c>
      <c r="N616" s="8" t="s">
        <v>20</v>
      </c>
      <c r="O616" s="8" t="s">
        <v>184</v>
      </c>
      <c r="P616" s="8" t="s">
        <v>187</v>
      </c>
      <c r="Q616" s="8" t="s">
        <v>188</v>
      </c>
      <c r="R616" s="8" t="s">
        <v>308</v>
      </c>
      <c r="S616" s="8"/>
      <c r="T616" s="8"/>
      <c r="U616" s="8" t="s">
        <v>261</v>
      </c>
      <c r="V616" s="8"/>
      <c r="W616" s="8" t="s">
        <v>306</v>
      </c>
      <c r="X616" s="8" t="s">
        <v>98</v>
      </c>
      <c r="Y616" s="8" t="s">
        <v>23</v>
      </c>
    </row>
    <row r="617" spans="1:25" s="7" customFormat="1" hidden="1" x14ac:dyDescent="0.25">
      <c r="A617" s="283" t="s">
        <v>247</v>
      </c>
      <c r="B617" s="260">
        <v>45806</v>
      </c>
      <c r="C617" s="261" t="s">
        <v>508</v>
      </c>
      <c r="D617" s="261"/>
      <c r="E617" s="262">
        <v>1380</v>
      </c>
      <c r="F617" s="262">
        <v>0</v>
      </c>
      <c r="G617" s="285">
        <f>Tabla3[[#This Row],[INGRESOS]]-Tabla3[[#This Row],[EGRESOS]]</f>
        <v>-1380</v>
      </c>
      <c r="H617" s="137">
        <v>-11040</v>
      </c>
      <c r="I617" s="135">
        <v>1142</v>
      </c>
      <c r="J617" s="136">
        <f>Tabla3[[#This Row],[EGRESOS]]/Tabla3[[#This Row],[TC]]</f>
        <v>1.2084063047285465</v>
      </c>
      <c r="K617" s="136">
        <f>Tabla3[[#This Row],[INGRESOS]]/Tabla3[[#This Row],[TC]]</f>
        <v>0</v>
      </c>
      <c r="L617" s="8" t="s">
        <v>303</v>
      </c>
      <c r="M617" s="8" t="s">
        <v>504</v>
      </c>
      <c r="N617" s="8" t="s">
        <v>20</v>
      </c>
      <c r="O617" s="8" t="s">
        <v>184</v>
      </c>
      <c r="P617" s="8" t="s">
        <v>187</v>
      </c>
      <c r="Q617" s="8" t="s">
        <v>188</v>
      </c>
      <c r="R617" s="8" t="s">
        <v>334</v>
      </c>
      <c r="S617" s="8"/>
      <c r="T617" s="8"/>
      <c r="U617" s="8" t="s">
        <v>261</v>
      </c>
      <c r="V617" s="8"/>
      <c r="W617" s="8" t="s">
        <v>306</v>
      </c>
      <c r="X617" s="8" t="s">
        <v>98</v>
      </c>
      <c r="Y617" s="8" t="s">
        <v>23</v>
      </c>
    </row>
    <row r="618" spans="1:25" s="7" customFormat="1" hidden="1" x14ac:dyDescent="0.25">
      <c r="A618" s="283" t="s">
        <v>247</v>
      </c>
      <c r="B618" s="260">
        <v>45806</v>
      </c>
      <c r="C618" s="261" t="s">
        <v>511</v>
      </c>
      <c r="D618" s="261"/>
      <c r="E618" s="262">
        <v>46000</v>
      </c>
      <c r="F618" s="262">
        <v>0</v>
      </c>
      <c r="G618" s="285">
        <f>Tabla3[[#This Row],[INGRESOS]]-Tabla3[[#This Row],[EGRESOS]]</f>
        <v>-46000</v>
      </c>
      <c r="H618" s="137">
        <v>-57040</v>
      </c>
      <c r="I618" s="135">
        <v>1143</v>
      </c>
      <c r="J618" s="136">
        <f>Tabla3[[#This Row],[EGRESOS]]/Tabla3[[#This Row],[TC]]</f>
        <v>40.244969378827648</v>
      </c>
      <c r="K618" s="136">
        <f>Tabla3[[#This Row],[INGRESOS]]/Tabla3[[#This Row],[TC]]</f>
        <v>0</v>
      </c>
      <c r="L618" s="8" t="s">
        <v>303</v>
      </c>
      <c r="M618" s="8" t="s">
        <v>504</v>
      </c>
      <c r="N618" s="8" t="s">
        <v>20</v>
      </c>
      <c r="O618" s="8" t="s">
        <v>184</v>
      </c>
      <c r="P618" s="8" t="s">
        <v>185</v>
      </c>
      <c r="Q618" s="8" t="s">
        <v>186</v>
      </c>
      <c r="R618" s="8" t="s">
        <v>211</v>
      </c>
      <c r="S618" s="8"/>
      <c r="T618" s="8"/>
      <c r="U618" s="8" t="s">
        <v>261</v>
      </c>
      <c r="V618" s="8"/>
      <c r="W618" s="8" t="s">
        <v>306</v>
      </c>
      <c r="X618" s="8" t="s">
        <v>98</v>
      </c>
      <c r="Y618" s="8" t="s">
        <v>23</v>
      </c>
    </row>
    <row r="619" spans="1:25" s="7" customFormat="1" hidden="1" x14ac:dyDescent="0.25">
      <c r="A619" s="283" t="s">
        <v>247</v>
      </c>
      <c r="B619" s="260">
        <v>45806</v>
      </c>
      <c r="C619" s="261" t="s">
        <v>637</v>
      </c>
      <c r="D619" s="261"/>
      <c r="E619" s="262">
        <v>342.24</v>
      </c>
      <c r="F619" s="262">
        <v>0</v>
      </c>
      <c r="G619" s="285">
        <f>Tabla3[[#This Row],[INGRESOS]]-Tabla3[[#This Row],[EGRESOS]]</f>
        <v>-342.24</v>
      </c>
      <c r="H619" s="137">
        <v>-57382.239999999998</v>
      </c>
      <c r="I619" s="135">
        <v>1144</v>
      </c>
      <c r="J619" s="136">
        <f>Tabla3[[#This Row],[EGRESOS]]/Tabla3[[#This Row],[TC]]</f>
        <v>0.29916083916083919</v>
      </c>
      <c r="K619" s="136">
        <f>Tabla3[[#This Row],[INGRESOS]]/Tabla3[[#This Row],[TC]]</f>
        <v>0</v>
      </c>
      <c r="L619" s="8" t="s">
        <v>303</v>
      </c>
      <c r="M619" s="8" t="s">
        <v>504</v>
      </c>
      <c r="N619" s="8" t="s">
        <v>20</v>
      </c>
      <c r="O619" s="8" t="s">
        <v>184</v>
      </c>
      <c r="P619" s="8" t="s">
        <v>187</v>
      </c>
      <c r="Q619" s="8" t="s">
        <v>188</v>
      </c>
      <c r="R619" s="8" t="s">
        <v>317</v>
      </c>
      <c r="S619" s="8"/>
      <c r="T619" s="8"/>
      <c r="U619" s="8" t="s">
        <v>261</v>
      </c>
      <c r="V619" s="8"/>
      <c r="W619" s="8" t="s">
        <v>306</v>
      </c>
      <c r="X619" s="8" t="s">
        <v>98</v>
      </c>
      <c r="Y619" s="8" t="s">
        <v>23</v>
      </c>
    </row>
    <row r="620" spans="1:25" s="7" customFormat="1" hidden="1" x14ac:dyDescent="0.25">
      <c r="A620" s="283" t="s">
        <v>247</v>
      </c>
      <c r="B620" s="260">
        <v>45806</v>
      </c>
      <c r="C620" s="261" t="s">
        <v>506</v>
      </c>
      <c r="D620" s="261"/>
      <c r="E620" s="262">
        <v>0</v>
      </c>
      <c r="F620" s="262">
        <v>57382.239999999998</v>
      </c>
      <c r="G620" s="285">
        <f>Tabla3[[#This Row],[INGRESOS]]-Tabla3[[#This Row],[EGRESOS]]</f>
        <v>57382.239999999998</v>
      </c>
      <c r="H620" s="137">
        <v>0</v>
      </c>
      <c r="I620" s="135">
        <v>1145</v>
      </c>
      <c r="J620" s="136">
        <f>Tabla3[[#This Row],[EGRESOS]]/Tabla3[[#This Row],[TC]]</f>
        <v>0</v>
      </c>
      <c r="K620" s="136">
        <f>Tabla3[[#This Row],[INGRESOS]]/Tabla3[[#This Row],[TC]]</f>
        <v>50.11549344978166</v>
      </c>
      <c r="L620" s="8" t="s">
        <v>303</v>
      </c>
      <c r="M620" s="8" t="s">
        <v>504</v>
      </c>
      <c r="N620" s="8" t="s">
        <v>20</v>
      </c>
      <c r="O620" s="8" t="s">
        <v>214</v>
      </c>
      <c r="P620" s="8" t="s">
        <v>216</v>
      </c>
      <c r="Q620" s="8" t="s">
        <v>217</v>
      </c>
      <c r="R620" s="8" t="s">
        <v>388</v>
      </c>
      <c r="S620" s="8"/>
      <c r="T620" s="8"/>
      <c r="U620" s="8" t="s">
        <v>262</v>
      </c>
      <c r="V620" s="8"/>
      <c r="W620" s="8" t="s">
        <v>306</v>
      </c>
      <c r="X620" s="8"/>
      <c r="Y620" s="8"/>
    </row>
    <row r="621" spans="1:25" hidden="1" x14ac:dyDescent="0.25">
      <c r="A621" s="283" t="s">
        <v>725</v>
      </c>
      <c r="B621" s="260">
        <v>45835</v>
      </c>
      <c r="C621" s="261" t="s">
        <v>507</v>
      </c>
      <c r="D621" s="261"/>
      <c r="E621" s="262">
        <v>9660</v>
      </c>
      <c r="F621" s="262">
        <v>0</v>
      </c>
      <c r="G621" s="285">
        <f>Tabla3[[#This Row],[INGRESOS]]-Tabla3[[#This Row],[EGRESOS]]</f>
        <v>-9660</v>
      </c>
      <c r="H621" s="137">
        <v>-9660</v>
      </c>
      <c r="I621" s="135">
        <v>1145</v>
      </c>
      <c r="J621" s="136">
        <f>Tabla3[[#This Row],[EGRESOS]]/Tabla3[[#This Row],[TC]]</f>
        <v>8.4366812227074242</v>
      </c>
      <c r="K621" s="136">
        <f>Tabla3[[#This Row],[INGRESOS]]/Tabla3[[#This Row],[TC]]</f>
        <v>0</v>
      </c>
      <c r="L621" s="8" t="s">
        <v>303</v>
      </c>
      <c r="M621" s="8" t="s">
        <v>504</v>
      </c>
      <c r="N621" s="8" t="s">
        <v>20</v>
      </c>
      <c r="O621" s="8" t="s">
        <v>184</v>
      </c>
      <c r="P621" s="8" t="s">
        <v>187</v>
      </c>
      <c r="Q621" s="8" t="s">
        <v>188</v>
      </c>
      <c r="R621" s="8"/>
      <c r="S621" s="8"/>
      <c r="T621" s="8"/>
      <c r="U621" s="8" t="s">
        <v>261</v>
      </c>
      <c r="V621" s="8"/>
      <c r="W621" s="8" t="s">
        <v>306</v>
      </c>
      <c r="X621" s="8" t="s">
        <v>98</v>
      </c>
      <c r="Y621" s="8" t="s">
        <v>23</v>
      </c>
    </row>
    <row r="622" spans="1:25" hidden="1" x14ac:dyDescent="0.25">
      <c r="A622" s="283" t="s">
        <v>725</v>
      </c>
      <c r="B622" s="260">
        <v>45835</v>
      </c>
      <c r="C622" s="261" t="s">
        <v>508</v>
      </c>
      <c r="D622" s="261"/>
      <c r="E622" s="262">
        <v>1380</v>
      </c>
      <c r="F622" s="262">
        <v>0</v>
      </c>
      <c r="G622" s="285">
        <f>Tabla3[[#This Row],[INGRESOS]]-Tabla3[[#This Row],[EGRESOS]]</f>
        <v>-1380</v>
      </c>
      <c r="H622" s="137">
        <v>-11040</v>
      </c>
      <c r="I622" s="135">
        <v>1145</v>
      </c>
      <c r="J622" s="136">
        <f>Tabla3[[#This Row],[EGRESOS]]/Tabla3[[#This Row],[TC]]</f>
        <v>1.205240174672489</v>
      </c>
      <c r="K622" s="136">
        <f>Tabla3[[#This Row],[INGRESOS]]/Tabla3[[#This Row],[TC]]</f>
        <v>0</v>
      </c>
      <c r="L622" s="8" t="s">
        <v>303</v>
      </c>
      <c r="M622" s="8" t="s">
        <v>504</v>
      </c>
      <c r="N622" s="8" t="s">
        <v>20</v>
      </c>
      <c r="O622" s="8" t="s">
        <v>184</v>
      </c>
      <c r="P622" s="8" t="s">
        <v>187</v>
      </c>
      <c r="Q622" s="8" t="s">
        <v>188</v>
      </c>
      <c r="R622" s="8"/>
      <c r="S622" s="8"/>
      <c r="T622" s="8"/>
      <c r="U622" s="8" t="s">
        <v>261</v>
      </c>
      <c r="V622" s="8"/>
      <c r="W622" s="8" t="s">
        <v>306</v>
      </c>
      <c r="X622" s="8" t="s">
        <v>98</v>
      </c>
      <c r="Y622" s="8" t="s">
        <v>23</v>
      </c>
    </row>
    <row r="623" spans="1:25" hidden="1" x14ac:dyDescent="0.25">
      <c r="A623" s="283" t="s">
        <v>725</v>
      </c>
      <c r="B623" s="260">
        <v>45835</v>
      </c>
      <c r="C623" s="261" t="s">
        <v>511</v>
      </c>
      <c r="D623" s="261"/>
      <c r="E623" s="262">
        <v>46000</v>
      </c>
      <c r="F623" s="262">
        <v>0</v>
      </c>
      <c r="G623" s="285">
        <f>Tabla3[[#This Row],[INGRESOS]]-Tabla3[[#This Row],[EGRESOS]]</f>
        <v>-46000</v>
      </c>
      <c r="H623" s="137">
        <v>-57040</v>
      </c>
      <c r="I623" s="135">
        <v>1145</v>
      </c>
      <c r="J623" s="136">
        <f>Tabla3[[#This Row],[EGRESOS]]/Tabla3[[#This Row],[TC]]</f>
        <v>40.174672489082973</v>
      </c>
      <c r="K623" s="136">
        <f>Tabla3[[#This Row],[INGRESOS]]/Tabla3[[#This Row],[TC]]</f>
        <v>0</v>
      </c>
      <c r="L623" s="8" t="s">
        <v>303</v>
      </c>
      <c r="M623" s="8" t="s">
        <v>504</v>
      </c>
      <c r="N623" s="8" t="s">
        <v>20</v>
      </c>
      <c r="O623" s="8" t="s">
        <v>184</v>
      </c>
      <c r="P623" s="8" t="s">
        <v>185</v>
      </c>
      <c r="Q623" s="8" t="s">
        <v>186</v>
      </c>
      <c r="R623" s="8" t="s">
        <v>211</v>
      </c>
      <c r="S623" s="8"/>
      <c r="T623" s="8"/>
      <c r="U623" s="8" t="s">
        <v>261</v>
      </c>
      <c r="V623" s="8"/>
      <c r="W623" s="8" t="s">
        <v>306</v>
      </c>
      <c r="X623" s="8" t="s">
        <v>98</v>
      </c>
      <c r="Y623" s="8" t="s">
        <v>23</v>
      </c>
    </row>
    <row r="624" spans="1:25" hidden="1" x14ac:dyDescent="0.25">
      <c r="A624" s="283" t="s">
        <v>725</v>
      </c>
      <c r="B624" s="260">
        <v>45835</v>
      </c>
      <c r="C624" s="261" t="s">
        <v>637</v>
      </c>
      <c r="D624" s="261"/>
      <c r="E624" s="262">
        <v>342.24</v>
      </c>
      <c r="F624" s="262">
        <v>0</v>
      </c>
      <c r="G624" s="285">
        <f>Tabla3[[#This Row],[INGRESOS]]-Tabla3[[#This Row],[EGRESOS]]</f>
        <v>-342.24</v>
      </c>
      <c r="H624" s="137">
        <v>-57382.239999999998</v>
      </c>
      <c r="I624" s="135">
        <v>1145</v>
      </c>
      <c r="J624" s="136">
        <f>Tabla3[[#This Row],[EGRESOS]]/Tabla3[[#This Row],[TC]]</f>
        <v>0.29889956331877732</v>
      </c>
      <c r="K624" s="136">
        <f>Tabla3[[#This Row],[INGRESOS]]/Tabla3[[#This Row],[TC]]</f>
        <v>0</v>
      </c>
      <c r="L624" s="8" t="s">
        <v>303</v>
      </c>
      <c r="M624" s="8" t="s">
        <v>504</v>
      </c>
      <c r="N624" s="8" t="s">
        <v>20</v>
      </c>
      <c r="O624" s="8" t="s">
        <v>184</v>
      </c>
      <c r="P624" s="8" t="s">
        <v>187</v>
      </c>
      <c r="Q624" s="8" t="s">
        <v>188</v>
      </c>
      <c r="R624" s="8" t="s">
        <v>317</v>
      </c>
      <c r="S624" s="8"/>
      <c r="T624" s="8"/>
      <c r="U624" s="8" t="s">
        <v>261</v>
      </c>
      <c r="V624" s="8"/>
      <c r="W624" s="8" t="s">
        <v>306</v>
      </c>
      <c r="X624" s="8" t="s">
        <v>98</v>
      </c>
      <c r="Y624" s="8" t="s">
        <v>23</v>
      </c>
    </row>
    <row r="625" spans="1:25" hidden="1" x14ac:dyDescent="0.25">
      <c r="A625" s="283" t="s">
        <v>725</v>
      </c>
      <c r="B625" s="260">
        <v>45835</v>
      </c>
      <c r="C625" s="261" t="s">
        <v>506</v>
      </c>
      <c r="D625" s="261"/>
      <c r="E625" s="262">
        <v>0</v>
      </c>
      <c r="F625" s="262">
        <v>57382.239999999998</v>
      </c>
      <c r="G625" s="285">
        <f>Tabla3[[#This Row],[INGRESOS]]-Tabla3[[#This Row],[EGRESOS]]</f>
        <v>57382.239999999998</v>
      </c>
      <c r="H625" s="137">
        <v>0</v>
      </c>
      <c r="I625" s="135">
        <v>1145</v>
      </c>
      <c r="J625" s="136">
        <f>Tabla3[[#This Row],[EGRESOS]]/Tabla3[[#This Row],[TC]]</f>
        <v>0</v>
      </c>
      <c r="K625" s="136">
        <f>Tabla3[[#This Row],[INGRESOS]]/Tabla3[[#This Row],[TC]]</f>
        <v>50.11549344978166</v>
      </c>
      <c r="L625" s="8" t="s">
        <v>303</v>
      </c>
      <c r="M625" s="8" t="s">
        <v>504</v>
      </c>
      <c r="N625" s="8" t="s">
        <v>20</v>
      </c>
      <c r="O625" s="8" t="s">
        <v>214</v>
      </c>
      <c r="P625" s="8" t="s">
        <v>216</v>
      </c>
      <c r="Q625" s="8" t="s">
        <v>217</v>
      </c>
      <c r="R625" s="8" t="s">
        <v>388</v>
      </c>
      <c r="S625" s="8"/>
      <c r="T625" s="8"/>
      <c r="U625" s="8" t="s">
        <v>262</v>
      </c>
      <c r="V625" s="8"/>
      <c r="W625" s="8" t="s">
        <v>306</v>
      </c>
      <c r="X625" s="8"/>
      <c r="Y625" s="8"/>
    </row>
    <row r="626" spans="1:25" hidden="1" x14ac:dyDescent="0.25">
      <c r="A626" s="283" t="s">
        <v>726</v>
      </c>
      <c r="B626" s="260">
        <v>45839</v>
      </c>
      <c r="C626" s="261" t="s">
        <v>503</v>
      </c>
      <c r="D626" s="261"/>
      <c r="E626" s="262">
        <v>800143.79</v>
      </c>
      <c r="F626" s="262">
        <v>0</v>
      </c>
      <c r="G626" s="285">
        <f>Tabla3[[#This Row],[INGRESOS]]-Tabla3[[#This Row],[EGRESOS]]</f>
        <v>-800143.79</v>
      </c>
      <c r="H626" s="137">
        <v>-800143.79</v>
      </c>
      <c r="I626" s="135">
        <v>1145</v>
      </c>
      <c r="J626" s="136">
        <f>Tabla3[[#This Row],[EGRESOS]]/Tabla3[[#This Row],[TC]]</f>
        <v>698.815537117904</v>
      </c>
      <c r="K626" s="136">
        <f>Tabla3[[#This Row],[INGRESOS]]/Tabla3[[#This Row],[TC]]</f>
        <v>0</v>
      </c>
      <c r="L626" s="8" t="s">
        <v>303</v>
      </c>
      <c r="M626" s="8" t="s">
        <v>504</v>
      </c>
      <c r="N626" s="8" t="s">
        <v>20</v>
      </c>
      <c r="O626" s="8" t="s">
        <v>184</v>
      </c>
      <c r="P626" s="8" t="s">
        <v>191</v>
      </c>
      <c r="Q626" s="8" t="s">
        <v>193</v>
      </c>
      <c r="R626" s="8" t="s">
        <v>954</v>
      </c>
      <c r="S626" s="8" t="s">
        <v>313</v>
      </c>
      <c r="T626" s="8"/>
      <c r="U626" s="8" t="s">
        <v>266</v>
      </c>
      <c r="V626" s="8"/>
      <c r="W626" s="8" t="s">
        <v>306</v>
      </c>
      <c r="X626" s="8" t="s">
        <v>98</v>
      </c>
      <c r="Y626" s="8" t="s">
        <v>23</v>
      </c>
    </row>
    <row r="627" spans="1:25" hidden="1" x14ac:dyDescent="0.25">
      <c r="A627" s="283" t="s">
        <v>726</v>
      </c>
      <c r="B627" s="260">
        <v>45839</v>
      </c>
      <c r="C627" s="261" t="s">
        <v>943</v>
      </c>
      <c r="D627" s="261"/>
      <c r="E627" s="262">
        <v>4800.8599999999997</v>
      </c>
      <c r="F627" s="262">
        <v>0</v>
      </c>
      <c r="G627" s="285">
        <f>Tabla3[[#This Row],[INGRESOS]]-Tabla3[[#This Row],[EGRESOS]]</f>
        <v>-4800.8599999999997</v>
      </c>
      <c r="H627" s="137">
        <v>-804944.65</v>
      </c>
      <c r="I627" s="135">
        <v>1145</v>
      </c>
      <c r="J627" s="136">
        <f>Tabla3[[#This Row],[EGRESOS]]/Tabla3[[#This Row],[TC]]</f>
        <v>4.1928908296943233</v>
      </c>
      <c r="K627" s="136">
        <f>Tabla3[[#This Row],[INGRESOS]]/Tabla3[[#This Row],[TC]]</f>
        <v>0</v>
      </c>
      <c r="L627" s="8" t="s">
        <v>303</v>
      </c>
      <c r="M627" s="8" t="s">
        <v>504</v>
      </c>
      <c r="N627" s="8" t="s">
        <v>20</v>
      </c>
      <c r="O627" s="8" t="s">
        <v>184</v>
      </c>
      <c r="P627" s="8" t="s">
        <v>187</v>
      </c>
      <c r="Q627" s="8" t="s">
        <v>188</v>
      </c>
      <c r="R627" s="8" t="s">
        <v>317</v>
      </c>
      <c r="S627" s="8"/>
      <c r="T627" s="8"/>
      <c r="U627" s="8" t="s">
        <v>261</v>
      </c>
      <c r="V627" s="8"/>
      <c r="W627" s="8" t="s">
        <v>306</v>
      </c>
      <c r="X627" s="8" t="s">
        <v>98</v>
      </c>
      <c r="Y627" s="8" t="s">
        <v>23</v>
      </c>
    </row>
    <row r="628" spans="1:25" hidden="1" x14ac:dyDescent="0.25">
      <c r="A628" s="283" t="s">
        <v>726</v>
      </c>
      <c r="B628" s="260">
        <v>45839</v>
      </c>
      <c r="C628" s="261" t="s">
        <v>506</v>
      </c>
      <c r="D628" s="261"/>
      <c r="E628" s="262">
        <v>0</v>
      </c>
      <c r="F628" s="262">
        <v>804944.65</v>
      </c>
      <c r="G628" s="285">
        <f>Tabla3[[#This Row],[INGRESOS]]-Tabla3[[#This Row],[EGRESOS]]</f>
        <v>804944.65</v>
      </c>
      <c r="H628" s="137">
        <v>0</v>
      </c>
      <c r="I628" s="135">
        <v>1145</v>
      </c>
      <c r="J628" s="136">
        <f>Tabla3[[#This Row],[EGRESOS]]/Tabla3[[#This Row],[TC]]</f>
        <v>0</v>
      </c>
      <c r="K628" s="136">
        <f>Tabla3[[#This Row],[INGRESOS]]/Tabla3[[#This Row],[TC]]</f>
        <v>703.00842794759831</v>
      </c>
      <c r="L628" s="8" t="s">
        <v>303</v>
      </c>
      <c r="M628" s="8" t="s">
        <v>504</v>
      </c>
      <c r="N628" s="8" t="s">
        <v>20</v>
      </c>
      <c r="O628" s="8" t="s">
        <v>214</v>
      </c>
      <c r="P628" s="8" t="s">
        <v>216</v>
      </c>
      <c r="Q628" s="8" t="s">
        <v>217</v>
      </c>
      <c r="R628" s="8" t="s">
        <v>388</v>
      </c>
      <c r="S628" s="8"/>
      <c r="T628" s="8"/>
      <c r="U628" s="8" t="s">
        <v>262</v>
      </c>
      <c r="V628" s="8"/>
      <c r="W628" s="8" t="s">
        <v>306</v>
      </c>
      <c r="X628" s="8"/>
      <c r="Y628" s="8"/>
    </row>
    <row r="629" spans="1:25" hidden="1" x14ac:dyDescent="0.25">
      <c r="A629" s="283" t="s">
        <v>726</v>
      </c>
      <c r="B629" s="260">
        <v>45856</v>
      </c>
      <c r="C629" s="261" t="s">
        <v>503</v>
      </c>
      <c r="D629" s="261"/>
      <c r="E629" s="262">
        <v>1288840.02</v>
      </c>
      <c r="F629" s="262">
        <v>0</v>
      </c>
      <c r="G629" s="285">
        <f>Tabla3[[#This Row],[INGRESOS]]-Tabla3[[#This Row],[EGRESOS]]</f>
        <v>-1288840.02</v>
      </c>
      <c r="H629" s="137">
        <v>-1288840.02</v>
      </c>
      <c r="I629" s="135">
        <v>1145</v>
      </c>
      <c r="J629" s="136">
        <f>Tabla3[[#This Row],[EGRESOS]]/Tabla3[[#This Row],[TC]]</f>
        <v>1125.6244716157205</v>
      </c>
      <c r="K629" s="136">
        <f>Tabla3[[#This Row],[INGRESOS]]/Tabla3[[#This Row],[TC]]</f>
        <v>0</v>
      </c>
      <c r="L629" s="8" t="s">
        <v>303</v>
      </c>
      <c r="M629" s="8" t="s">
        <v>504</v>
      </c>
      <c r="N629" s="8" t="s">
        <v>20</v>
      </c>
      <c r="O629" s="8" t="s">
        <v>184</v>
      </c>
      <c r="P629" s="8" t="s">
        <v>191</v>
      </c>
      <c r="Q629" s="8" t="s">
        <v>193</v>
      </c>
      <c r="R629" s="8" t="s">
        <v>954</v>
      </c>
      <c r="S629" s="8" t="s">
        <v>313</v>
      </c>
      <c r="T629" s="8"/>
      <c r="U629" s="8" t="s">
        <v>266</v>
      </c>
      <c r="V629" s="8"/>
      <c r="W629" s="8" t="s">
        <v>306</v>
      </c>
      <c r="X629" s="8" t="s">
        <v>98</v>
      </c>
      <c r="Y629" s="8" t="s">
        <v>23</v>
      </c>
    </row>
    <row r="630" spans="1:25" hidden="1" x14ac:dyDescent="0.25">
      <c r="A630" s="277" t="s">
        <v>726</v>
      </c>
      <c r="B630" s="278">
        <v>45856</v>
      </c>
      <c r="C630" s="279" t="s">
        <v>943</v>
      </c>
      <c r="D630" s="279"/>
      <c r="E630" s="262">
        <v>7733.04</v>
      </c>
      <c r="F630" s="280">
        <v>0</v>
      </c>
      <c r="G630" s="353">
        <f>Tabla3[[#This Row],[INGRESOS]]-Tabla3[[#This Row],[EGRESOS]]</f>
        <v>-7733.04</v>
      </c>
      <c r="H630" s="363">
        <v>-1296573.06</v>
      </c>
      <c r="I630" s="275">
        <v>1145</v>
      </c>
      <c r="J630" s="281">
        <f>Tabla3[[#This Row],[EGRESOS]]/Tabla3[[#This Row],[TC]]</f>
        <v>6.7537467248908296</v>
      </c>
      <c r="K630" s="281">
        <f>Tabla3[[#This Row],[INGRESOS]]/Tabla3[[#This Row],[TC]]</f>
        <v>0</v>
      </c>
      <c r="L630" s="282" t="s">
        <v>303</v>
      </c>
      <c r="M630" s="282" t="s">
        <v>504</v>
      </c>
      <c r="N630" s="282" t="s">
        <v>20</v>
      </c>
      <c r="O630" s="282" t="s">
        <v>184</v>
      </c>
      <c r="P630" s="282" t="s">
        <v>187</v>
      </c>
      <c r="Q630" s="282" t="s">
        <v>188</v>
      </c>
      <c r="R630" s="282" t="s">
        <v>317</v>
      </c>
      <c r="S630" s="282"/>
      <c r="T630" s="282"/>
      <c r="U630" s="282" t="s">
        <v>261</v>
      </c>
      <c r="V630" s="282"/>
      <c r="W630" s="282" t="s">
        <v>306</v>
      </c>
      <c r="X630" s="282" t="s">
        <v>98</v>
      </c>
      <c r="Y630" s="282" t="s">
        <v>23</v>
      </c>
    </row>
    <row r="631" spans="1:25" hidden="1" x14ac:dyDescent="0.25">
      <c r="A631" s="277" t="s">
        <v>726</v>
      </c>
      <c r="B631" s="278">
        <v>45856</v>
      </c>
      <c r="C631" s="279" t="s">
        <v>506</v>
      </c>
      <c r="D631" s="279"/>
      <c r="E631" s="262">
        <v>0</v>
      </c>
      <c r="F631" s="280">
        <v>1296573.06</v>
      </c>
      <c r="G631" s="353">
        <f>Tabla3[[#This Row],[INGRESOS]]-Tabla3[[#This Row],[EGRESOS]]</f>
        <v>1296573.06</v>
      </c>
      <c r="H631" s="363">
        <v>0</v>
      </c>
      <c r="I631" s="275">
        <v>1145</v>
      </c>
      <c r="J631" s="281">
        <f>Tabla3[[#This Row],[EGRESOS]]/Tabla3[[#This Row],[TC]]</f>
        <v>0</v>
      </c>
      <c r="K631" s="281">
        <f>Tabla3[[#This Row],[INGRESOS]]/Tabla3[[#This Row],[TC]]</f>
        <v>1132.3782183406115</v>
      </c>
      <c r="L631" s="282" t="s">
        <v>303</v>
      </c>
      <c r="M631" s="282" t="s">
        <v>504</v>
      </c>
      <c r="N631" s="282" t="s">
        <v>20</v>
      </c>
      <c r="O631" s="282" t="s">
        <v>214</v>
      </c>
      <c r="P631" s="282" t="s">
        <v>216</v>
      </c>
      <c r="Q631" s="282" t="s">
        <v>217</v>
      </c>
      <c r="R631" s="282" t="s">
        <v>388</v>
      </c>
      <c r="S631" s="282"/>
      <c r="T631" s="282"/>
      <c r="U631" s="282" t="s">
        <v>262</v>
      </c>
      <c r="V631" s="282"/>
      <c r="W631" s="282" t="s">
        <v>306</v>
      </c>
      <c r="X631" s="282"/>
      <c r="Y631" s="282"/>
    </row>
    <row r="632" spans="1:25" hidden="1" x14ac:dyDescent="0.25">
      <c r="A632" s="277" t="s">
        <v>726</v>
      </c>
      <c r="B632" s="278">
        <v>45868</v>
      </c>
      <c r="C632" s="279" t="s">
        <v>506</v>
      </c>
      <c r="D632" s="279"/>
      <c r="E632" s="262">
        <v>0</v>
      </c>
      <c r="F632" s="280">
        <v>61628</v>
      </c>
      <c r="G632" s="353">
        <f>Tabla3[[#This Row],[INGRESOS]]-Tabla3[[#This Row],[EGRESOS]]</f>
        <v>61628</v>
      </c>
      <c r="H632" s="363">
        <v>61628</v>
      </c>
      <c r="I632" s="275">
        <v>1290</v>
      </c>
      <c r="J632" s="281">
        <f>Tabla3[[#This Row],[EGRESOS]]/Tabla3[[#This Row],[TC]]</f>
        <v>0</v>
      </c>
      <c r="K632" s="281">
        <f>Tabla3[[#This Row],[INGRESOS]]/Tabla3[[#This Row],[TC]]</f>
        <v>47.773643410852713</v>
      </c>
      <c r="L632" s="282" t="s">
        <v>303</v>
      </c>
      <c r="M632" s="282" t="s">
        <v>504</v>
      </c>
      <c r="N632" s="282" t="s">
        <v>20</v>
      </c>
      <c r="O632" s="282" t="s">
        <v>214</v>
      </c>
      <c r="P632" s="282" t="s">
        <v>216</v>
      </c>
      <c r="Q632" s="282" t="s">
        <v>217</v>
      </c>
      <c r="R632" s="282" t="s">
        <v>388</v>
      </c>
      <c r="S632" s="282"/>
      <c r="T632" s="282"/>
      <c r="U632" s="282" t="s">
        <v>262</v>
      </c>
      <c r="V632" s="282"/>
      <c r="W632" s="282" t="s">
        <v>306</v>
      </c>
      <c r="X632" s="282"/>
      <c r="Y632" s="282"/>
    </row>
    <row r="633" spans="1:25" hidden="1" x14ac:dyDescent="0.25">
      <c r="A633" s="277" t="s">
        <v>726</v>
      </c>
      <c r="B633" s="278">
        <v>45869</v>
      </c>
      <c r="C633" s="279" t="s">
        <v>507</v>
      </c>
      <c r="D633" s="279"/>
      <c r="E633" s="262">
        <v>10437</v>
      </c>
      <c r="F633" s="280">
        <v>0</v>
      </c>
      <c r="G633" s="353">
        <f>Tabla3[[#This Row],[INGRESOS]]-Tabla3[[#This Row],[EGRESOS]]</f>
        <v>-10437</v>
      </c>
      <c r="H633" s="363">
        <v>51191</v>
      </c>
      <c r="I633" s="275">
        <v>1290</v>
      </c>
      <c r="J633" s="281">
        <f>Tabla3[[#This Row],[EGRESOS]]/Tabla3[[#This Row],[TC]]</f>
        <v>8.090697674418605</v>
      </c>
      <c r="K633" s="281">
        <f>Tabla3[[#This Row],[INGRESOS]]/Tabla3[[#This Row],[TC]]</f>
        <v>0</v>
      </c>
      <c r="L633" s="282" t="s">
        <v>303</v>
      </c>
      <c r="M633" s="282" t="s">
        <v>504</v>
      </c>
      <c r="N633" s="282" t="s">
        <v>20</v>
      </c>
      <c r="O633" s="282" t="s">
        <v>184</v>
      </c>
      <c r="P633" s="282" t="s">
        <v>187</v>
      </c>
      <c r="Q633" s="282" t="s">
        <v>188</v>
      </c>
      <c r="R633" s="282" t="s">
        <v>308</v>
      </c>
      <c r="S633" s="282"/>
      <c r="T633" s="282"/>
      <c r="U633" s="282" t="s">
        <v>261</v>
      </c>
      <c r="V633" s="282"/>
      <c r="W633" s="282" t="s">
        <v>306</v>
      </c>
      <c r="X633" s="282" t="s">
        <v>98</v>
      </c>
      <c r="Y633" s="282" t="s">
        <v>23</v>
      </c>
    </row>
    <row r="634" spans="1:25" hidden="1" x14ac:dyDescent="0.25">
      <c r="A634" s="277" t="s">
        <v>726</v>
      </c>
      <c r="B634" s="278">
        <v>45869</v>
      </c>
      <c r="C634" s="279" t="s">
        <v>508</v>
      </c>
      <c r="D634" s="279"/>
      <c r="E634" s="262">
        <v>1491</v>
      </c>
      <c r="F634" s="280">
        <v>0</v>
      </c>
      <c r="G634" s="353">
        <f>Tabla3[[#This Row],[INGRESOS]]-Tabla3[[#This Row],[EGRESOS]]</f>
        <v>-1491</v>
      </c>
      <c r="H634" s="363">
        <v>49700</v>
      </c>
      <c r="I634" s="275">
        <v>1290</v>
      </c>
      <c r="J634" s="281">
        <f>Tabla3[[#This Row],[EGRESOS]]/Tabla3[[#This Row],[TC]]</f>
        <v>1.155813953488372</v>
      </c>
      <c r="K634" s="281">
        <f>Tabla3[[#This Row],[INGRESOS]]/Tabla3[[#This Row],[TC]]</f>
        <v>0</v>
      </c>
      <c r="L634" s="282" t="s">
        <v>303</v>
      </c>
      <c r="M634" s="282" t="s">
        <v>504</v>
      </c>
      <c r="N634" s="282" t="s">
        <v>20</v>
      </c>
      <c r="O634" s="282" t="s">
        <v>184</v>
      </c>
      <c r="P634" s="282" t="s">
        <v>187</v>
      </c>
      <c r="Q634" s="282" t="s">
        <v>188</v>
      </c>
      <c r="R634" s="282" t="s">
        <v>334</v>
      </c>
      <c r="S634" s="282"/>
      <c r="T634" s="282"/>
      <c r="U634" s="282" t="s">
        <v>261</v>
      </c>
      <c r="V634" s="282"/>
      <c r="W634" s="282" t="s">
        <v>306</v>
      </c>
      <c r="X634" s="282" t="s">
        <v>98</v>
      </c>
      <c r="Y634" s="282" t="s">
        <v>23</v>
      </c>
    </row>
    <row r="635" spans="1:25" hidden="1" x14ac:dyDescent="0.25">
      <c r="A635" s="277" t="s">
        <v>726</v>
      </c>
      <c r="B635" s="278">
        <v>45869</v>
      </c>
      <c r="C635" s="279" t="s">
        <v>511</v>
      </c>
      <c r="D635" s="279"/>
      <c r="E635" s="262">
        <v>49700</v>
      </c>
      <c r="F635" s="280">
        <v>0</v>
      </c>
      <c r="G635" s="353">
        <f>Tabla3[[#This Row],[INGRESOS]]-Tabla3[[#This Row],[EGRESOS]]</f>
        <v>-49700</v>
      </c>
      <c r="H635" s="363">
        <v>0</v>
      </c>
      <c r="I635" s="275">
        <v>1290</v>
      </c>
      <c r="J635" s="281">
        <f>Tabla3[[#This Row],[EGRESOS]]/Tabla3[[#This Row],[TC]]</f>
        <v>38.527131782945737</v>
      </c>
      <c r="K635" s="281">
        <f>Tabla3[[#This Row],[INGRESOS]]/Tabla3[[#This Row],[TC]]</f>
        <v>0</v>
      </c>
      <c r="L635" s="282" t="s">
        <v>303</v>
      </c>
      <c r="M635" s="282" t="s">
        <v>504</v>
      </c>
      <c r="N635" s="282" t="s">
        <v>20</v>
      </c>
      <c r="O635" s="282" t="s">
        <v>184</v>
      </c>
      <c r="P635" s="282" t="s">
        <v>185</v>
      </c>
      <c r="Q635" s="282" t="s">
        <v>186</v>
      </c>
      <c r="R635" s="282" t="s">
        <v>211</v>
      </c>
      <c r="S635" s="282"/>
      <c r="T635" s="282"/>
      <c r="U635" s="282" t="s">
        <v>261</v>
      </c>
      <c r="V635" s="282"/>
      <c r="W635" s="282" t="s">
        <v>306</v>
      </c>
      <c r="X635" s="282" t="s">
        <v>98</v>
      </c>
      <c r="Y635" s="282" t="s">
        <v>23</v>
      </c>
    </row>
    <row r="636" spans="1:25" hidden="1" x14ac:dyDescent="0.25">
      <c r="A636" s="277" t="s">
        <v>726</v>
      </c>
      <c r="B636" s="278">
        <v>45869</v>
      </c>
      <c r="C636" s="279" t="s">
        <v>943</v>
      </c>
      <c r="D636" s="279"/>
      <c r="E636" s="262">
        <v>369.77</v>
      </c>
      <c r="F636" s="280">
        <v>0</v>
      </c>
      <c r="G636" s="353">
        <f>Tabla3[[#This Row],[INGRESOS]]-Tabla3[[#This Row],[EGRESOS]]</f>
        <v>-369.77</v>
      </c>
      <c r="H636" s="363">
        <v>-369.77</v>
      </c>
      <c r="I636" s="275">
        <v>1290</v>
      </c>
      <c r="J636" s="281">
        <f>Tabla3[[#This Row],[EGRESOS]]/Tabla3[[#This Row],[TC]]</f>
        <v>0.28664341085271317</v>
      </c>
      <c r="K636" s="281">
        <f>Tabla3[[#This Row],[INGRESOS]]/Tabla3[[#This Row],[TC]]</f>
        <v>0</v>
      </c>
      <c r="L636" s="282" t="s">
        <v>303</v>
      </c>
      <c r="M636" s="282" t="s">
        <v>504</v>
      </c>
      <c r="N636" s="282" t="s">
        <v>20</v>
      </c>
      <c r="O636" s="282" t="s">
        <v>184</v>
      </c>
      <c r="P636" s="282" t="s">
        <v>187</v>
      </c>
      <c r="Q636" s="282" t="s">
        <v>188</v>
      </c>
      <c r="R636" s="282" t="s">
        <v>317</v>
      </c>
      <c r="S636" s="282"/>
      <c r="T636" s="282"/>
      <c r="U636" s="282" t="s">
        <v>261</v>
      </c>
      <c r="V636" s="282"/>
      <c r="W636" s="282" t="s">
        <v>306</v>
      </c>
      <c r="X636" s="282" t="s">
        <v>98</v>
      </c>
      <c r="Y636" s="282" t="s">
        <v>23</v>
      </c>
    </row>
    <row r="637" spans="1:25" hidden="1" x14ac:dyDescent="0.25">
      <c r="A637" s="277" t="s">
        <v>726</v>
      </c>
      <c r="B637" s="278">
        <v>45869</v>
      </c>
      <c r="C637" s="279" t="s">
        <v>506</v>
      </c>
      <c r="D637" s="279"/>
      <c r="E637" s="262">
        <v>0</v>
      </c>
      <c r="F637" s="280">
        <v>369.77</v>
      </c>
      <c r="G637" s="353">
        <f>Tabla3[[#This Row],[INGRESOS]]-Tabla3[[#This Row],[EGRESOS]]</f>
        <v>369.77</v>
      </c>
      <c r="H637" s="363">
        <v>0</v>
      </c>
      <c r="I637" s="275">
        <v>1290</v>
      </c>
      <c r="J637" s="281">
        <f>Tabla3[[#This Row],[EGRESOS]]/Tabla3[[#This Row],[TC]]</f>
        <v>0</v>
      </c>
      <c r="K637" s="281">
        <f>Tabla3[[#This Row],[INGRESOS]]/Tabla3[[#This Row],[TC]]</f>
        <v>0.28664341085271317</v>
      </c>
      <c r="L637" s="282" t="s">
        <v>303</v>
      </c>
      <c r="M637" s="282" t="s">
        <v>504</v>
      </c>
      <c r="N637" s="282" t="s">
        <v>20</v>
      </c>
      <c r="O637" s="282" t="s">
        <v>214</v>
      </c>
      <c r="P637" s="282" t="s">
        <v>216</v>
      </c>
      <c r="Q637" s="282" t="s">
        <v>217</v>
      </c>
      <c r="R637" s="282" t="s">
        <v>388</v>
      </c>
      <c r="S637" s="282"/>
      <c r="T637" s="282"/>
      <c r="U637" s="282" t="s">
        <v>262</v>
      </c>
      <c r="V637" s="282"/>
      <c r="W637" s="282" t="s">
        <v>306</v>
      </c>
      <c r="X637" s="282"/>
      <c r="Y637" s="282"/>
    </row>
    <row r="638" spans="1:25" hidden="1" x14ac:dyDescent="0.25">
      <c r="A638" s="256" t="s">
        <v>183</v>
      </c>
      <c r="B638" s="257">
        <v>45659</v>
      </c>
      <c r="C638" s="250" t="s">
        <v>507</v>
      </c>
      <c r="D638" s="250"/>
      <c r="E638" s="262">
        <v>14008.54</v>
      </c>
      <c r="F638" s="258">
        <v>0</v>
      </c>
      <c r="G638" s="276">
        <f>Tabla3[[#This Row],[INGRESOS]]-Tabla3[[#This Row],[EGRESOS]]</f>
        <v>-14008.54</v>
      </c>
      <c r="H638" s="132">
        <v>-4858677.7</v>
      </c>
      <c r="I638" s="119">
        <v>1140</v>
      </c>
      <c r="J638" s="99">
        <f>Tabla3[[#This Row],[EGRESOS]]/Tabla3[[#This Row],[TC]]</f>
        <v>12.288192982456142</v>
      </c>
      <c r="K638" s="99">
        <f>Tabla3[[#This Row],[INGRESOS]]/Tabla3[[#This Row],[TC]]</f>
        <v>0</v>
      </c>
      <c r="L638" s="7" t="s">
        <v>303</v>
      </c>
      <c r="M638" s="7" t="s">
        <v>304</v>
      </c>
      <c r="N638" s="7" t="s">
        <v>20</v>
      </c>
      <c r="O638" s="7" t="s">
        <v>184</v>
      </c>
      <c r="P638" s="7" t="s">
        <v>187</v>
      </c>
      <c r="Q638" s="7" t="s">
        <v>188</v>
      </c>
      <c r="R638" s="7" t="s">
        <v>308</v>
      </c>
      <c r="S638" s="7"/>
      <c r="T638" s="7"/>
      <c r="U638" s="7" t="s">
        <v>261</v>
      </c>
      <c r="V638" s="7"/>
      <c r="W638" s="8" t="s">
        <v>306</v>
      </c>
      <c r="X638" s="7" t="s">
        <v>98</v>
      </c>
      <c r="Y638" s="7" t="s">
        <v>23</v>
      </c>
    </row>
    <row r="639" spans="1:25" hidden="1" x14ac:dyDescent="0.25">
      <c r="A639" s="256" t="s">
        <v>183</v>
      </c>
      <c r="B639" s="257">
        <v>45659</v>
      </c>
      <c r="C639" s="250" t="s">
        <v>508</v>
      </c>
      <c r="D639" s="250"/>
      <c r="E639" s="262">
        <v>2001.22</v>
      </c>
      <c r="F639" s="258">
        <v>0</v>
      </c>
      <c r="G639" s="276">
        <f>Tabla3[[#This Row],[INGRESOS]]-Tabla3[[#This Row],[EGRESOS]]</f>
        <v>-2001.22</v>
      </c>
      <c r="H639" s="132">
        <v>-4860678.92</v>
      </c>
      <c r="I639" s="119">
        <v>1140</v>
      </c>
      <c r="J639" s="99">
        <f>Tabla3[[#This Row],[EGRESOS]]/Tabla3[[#This Row],[TC]]</f>
        <v>1.7554561403508773</v>
      </c>
      <c r="K639" s="99">
        <f>Tabla3[[#This Row],[INGRESOS]]/Tabla3[[#This Row],[TC]]</f>
        <v>0</v>
      </c>
      <c r="L639" s="7" t="s">
        <v>303</v>
      </c>
      <c r="M639" s="7" t="s">
        <v>304</v>
      </c>
      <c r="N639" s="7" t="s">
        <v>20</v>
      </c>
      <c r="O639" s="7" t="s">
        <v>184</v>
      </c>
      <c r="P639" s="7" t="s">
        <v>187</v>
      </c>
      <c r="Q639" s="7" t="s">
        <v>188</v>
      </c>
      <c r="R639" s="7" t="s">
        <v>334</v>
      </c>
      <c r="S639" s="7"/>
      <c r="T639" s="7"/>
      <c r="U639" s="7" t="s">
        <v>261</v>
      </c>
      <c r="V639" s="7"/>
      <c r="W639" s="8" t="s">
        <v>306</v>
      </c>
      <c r="X639" s="7" t="s">
        <v>98</v>
      </c>
      <c r="Y639" s="7" t="s">
        <v>23</v>
      </c>
    </row>
    <row r="640" spans="1:25" hidden="1" x14ac:dyDescent="0.25">
      <c r="A640" s="256" t="s">
        <v>183</v>
      </c>
      <c r="B640" s="257">
        <v>45659</v>
      </c>
      <c r="C640" s="250" t="s">
        <v>518</v>
      </c>
      <c r="D640" s="250"/>
      <c r="E640" s="262">
        <v>133414.62</v>
      </c>
      <c r="F640" s="258">
        <v>0</v>
      </c>
      <c r="G640" s="276">
        <f>Tabla3[[#This Row],[INGRESOS]]-Tabla3[[#This Row],[EGRESOS]]</f>
        <v>-133414.62</v>
      </c>
      <c r="H640" s="132">
        <v>-4994093.54</v>
      </c>
      <c r="I640" s="119">
        <v>1140</v>
      </c>
      <c r="J640" s="99">
        <f>Tabla3[[#This Row],[EGRESOS]]/Tabla3[[#This Row],[TC]]</f>
        <v>117.03036842105263</v>
      </c>
      <c r="K640" s="99">
        <f>Tabla3[[#This Row],[INGRESOS]]/Tabla3[[#This Row],[TC]]</f>
        <v>0</v>
      </c>
      <c r="L640" s="7" t="s">
        <v>303</v>
      </c>
      <c r="M640" s="7" t="s">
        <v>304</v>
      </c>
      <c r="N640" s="7" t="s">
        <v>20</v>
      </c>
      <c r="O640" s="7" t="s">
        <v>184</v>
      </c>
      <c r="P640" s="7" t="s">
        <v>189</v>
      </c>
      <c r="Q640" s="7" t="s">
        <v>190</v>
      </c>
      <c r="R640" s="7" t="s">
        <v>519</v>
      </c>
      <c r="S640" s="7"/>
      <c r="T640" s="7"/>
      <c r="U640" s="7" t="s">
        <v>261</v>
      </c>
      <c r="V640" s="7"/>
      <c r="W640" s="8" t="s">
        <v>306</v>
      </c>
      <c r="X640" s="7" t="s">
        <v>98</v>
      </c>
      <c r="Y640" s="7" t="s">
        <v>23</v>
      </c>
    </row>
    <row r="641" spans="1:25" hidden="1" x14ac:dyDescent="0.25">
      <c r="A641" s="256" t="s">
        <v>183</v>
      </c>
      <c r="B641" s="257">
        <v>45659</v>
      </c>
      <c r="C641" s="250" t="s">
        <v>507</v>
      </c>
      <c r="D641" s="250"/>
      <c r="E641" s="262">
        <v>3218.36</v>
      </c>
      <c r="F641" s="258">
        <v>0</v>
      </c>
      <c r="G641" s="276">
        <f>Tabla3[[#This Row],[INGRESOS]]-Tabla3[[#This Row],[EGRESOS]]</f>
        <v>-3218.36</v>
      </c>
      <c r="H641" s="132">
        <v>-4997311.9000000004</v>
      </c>
      <c r="I641" s="119">
        <v>1140</v>
      </c>
      <c r="J641" s="99">
        <f>Tabla3[[#This Row],[EGRESOS]]/Tabla3[[#This Row],[TC]]</f>
        <v>2.823122807017544</v>
      </c>
      <c r="K641" s="99">
        <f>Tabla3[[#This Row],[INGRESOS]]/Tabla3[[#This Row],[TC]]</f>
        <v>0</v>
      </c>
      <c r="L641" s="7" t="s">
        <v>303</v>
      </c>
      <c r="M641" s="7" t="s">
        <v>304</v>
      </c>
      <c r="N641" s="7" t="s">
        <v>20</v>
      </c>
      <c r="O641" s="7" t="s">
        <v>184</v>
      </c>
      <c r="P641" s="7" t="s">
        <v>187</v>
      </c>
      <c r="Q641" s="7" t="s">
        <v>188</v>
      </c>
      <c r="R641" s="7" t="s">
        <v>308</v>
      </c>
      <c r="S641" s="7"/>
      <c r="T641" s="7"/>
      <c r="U641" s="7" t="s">
        <v>261</v>
      </c>
      <c r="V641" s="7"/>
      <c r="W641" s="8" t="s">
        <v>306</v>
      </c>
      <c r="X641" s="7" t="s">
        <v>98</v>
      </c>
      <c r="Y641" s="7" t="s">
        <v>23</v>
      </c>
    </row>
    <row r="642" spans="1:25" hidden="1" x14ac:dyDescent="0.25">
      <c r="A642" s="256" t="s">
        <v>183</v>
      </c>
      <c r="B642" s="257">
        <v>45659</v>
      </c>
      <c r="C642" s="250" t="s">
        <v>508</v>
      </c>
      <c r="D642" s="250"/>
      <c r="E642" s="262">
        <v>459.77</v>
      </c>
      <c r="F642" s="258">
        <v>0</v>
      </c>
      <c r="G642" s="276">
        <f>Tabla3[[#This Row],[INGRESOS]]-Tabla3[[#This Row],[EGRESOS]]</f>
        <v>-459.77</v>
      </c>
      <c r="H642" s="132">
        <v>-4997771.67</v>
      </c>
      <c r="I642" s="119">
        <v>1140</v>
      </c>
      <c r="J642" s="99">
        <f>Tabla3[[#This Row],[EGRESOS]]/Tabla3[[#This Row],[TC]]</f>
        <v>0.40330701754385961</v>
      </c>
      <c r="K642" s="99">
        <f>Tabla3[[#This Row],[INGRESOS]]/Tabla3[[#This Row],[TC]]</f>
        <v>0</v>
      </c>
      <c r="L642" s="7" t="s">
        <v>303</v>
      </c>
      <c r="M642" s="7" t="s">
        <v>304</v>
      </c>
      <c r="N642" s="7" t="s">
        <v>20</v>
      </c>
      <c r="O642" s="7" t="s">
        <v>184</v>
      </c>
      <c r="P642" s="7" t="s">
        <v>187</v>
      </c>
      <c r="Q642" s="7" t="s">
        <v>188</v>
      </c>
      <c r="R642" s="7" t="s">
        <v>334</v>
      </c>
      <c r="S642" s="7"/>
      <c r="T642" s="7"/>
      <c r="U642" s="7" t="s">
        <v>261</v>
      </c>
      <c r="V642" s="7"/>
      <c r="W642" s="8" t="s">
        <v>306</v>
      </c>
      <c r="X642" s="7" t="s">
        <v>98</v>
      </c>
      <c r="Y642" s="7" t="s">
        <v>23</v>
      </c>
    </row>
    <row r="643" spans="1:25" hidden="1" x14ac:dyDescent="0.25">
      <c r="A643" s="256" t="s">
        <v>183</v>
      </c>
      <c r="B643" s="257">
        <v>45659</v>
      </c>
      <c r="C643" s="250" t="s">
        <v>520</v>
      </c>
      <c r="D643" s="250"/>
      <c r="E643" s="262">
        <v>30651.05</v>
      </c>
      <c r="F643" s="258">
        <v>0</v>
      </c>
      <c r="G643" s="276">
        <f>Tabla3[[#This Row],[INGRESOS]]-Tabla3[[#This Row],[EGRESOS]]</f>
        <v>-30651.05</v>
      </c>
      <c r="H643" s="132">
        <v>-5028422.72</v>
      </c>
      <c r="I643" s="119">
        <v>1140</v>
      </c>
      <c r="J643" s="99">
        <f>Tabla3[[#This Row],[EGRESOS]]/Tabla3[[#This Row],[TC]]</f>
        <v>26.886885964912281</v>
      </c>
      <c r="K643" s="99">
        <f>Tabla3[[#This Row],[INGRESOS]]/Tabla3[[#This Row],[TC]]</f>
        <v>0</v>
      </c>
      <c r="L643" s="7" t="s">
        <v>303</v>
      </c>
      <c r="M643" s="7" t="s">
        <v>304</v>
      </c>
      <c r="N643" s="7" t="s">
        <v>20</v>
      </c>
      <c r="O643" s="7" t="s">
        <v>184</v>
      </c>
      <c r="P643" s="7" t="s">
        <v>189</v>
      </c>
      <c r="Q643" s="7" t="s">
        <v>190</v>
      </c>
      <c r="R643" s="7" t="s">
        <v>519</v>
      </c>
      <c r="S643" s="7"/>
      <c r="T643" s="7"/>
      <c r="U643" s="7" t="s">
        <v>261</v>
      </c>
      <c r="V643" s="7"/>
      <c r="W643" s="8" t="s">
        <v>306</v>
      </c>
      <c r="X643" s="7" t="s">
        <v>98</v>
      </c>
      <c r="Y643" s="7" t="s">
        <v>23</v>
      </c>
    </row>
    <row r="644" spans="1:25" hidden="1" x14ac:dyDescent="0.25">
      <c r="A644" s="256" t="s">
        <v>183</v>
      </c>
      <c r="B644" s="257">
        <v>45659</v>
      </c>
      <c r="C644" s="250" t="s">
        <v>521</v>
      </c>
      <c r="D644" s="250" t="s">
        <v>522</v>
      </c>
      <c r="E644" s="262">
        <v>290976.96999999997</v>
      </c>
      <c r="F644" s="258">
        <v>0</v>
      </c>
      <c r="G644" s="276">
        <f>Tabla3[[#This Row],[INGRESOS]]-Tabla3[[#This Row],[EGRESOS]]</f>
        <v>-290976.96999999997</v>
      </c>
      <c r="H644" s="132">
        <v>-5319399.6900000004</v>
      </c>
      <c r="I644" s="119">
        <v>1140</v>
      </c>
      <c r="J644" s="99">
        <f>Tabla3[[#This Row],[EGRESOS]]/Tabla3[[#This Row],[TC]]</f>
        <v>255.24295614035086</v>
      </c>
      <c r="K644" s="99">
        <f>Tabla3[[#This Row],[INGRESOS]]/Tabla3[[#This Row],[TC]]</f>
        <v>0</v>
      </c>
      <c r="L644" s="7" t="s">
        <v>303</v>
      </c>
      <c r="M644" s="7" t="s">
        <v>304</v>
      </c>
      <c r="N644" s="7" t="s">
        <v>20</v>
      </c>
      <c r="O644" s="7" t="s">
        <v>204</v>
      </c>
      <c r="P644" s="7" t="s">
        <v>205</v>
      </c>
      <c r="Q644" s="7" t="s">
        <v>206</v>
      </c>
      <c r="R644" s="7"/>
      <c r="S644" s="7" t="s">
        <v>523</v>
      </c>
      <c r="T644" s="7" t="s">
        <v>524</v>
      </c>
      <c r="U644" s="7" t="s">
        <v>257</v>
      </c>
      <c r="V644" s="7"/>
      <c r="W644" s="7" t="s">
        <v>392</v>
      </c>
      <c r="X644" s="7" t="s">
        <v>29</v>
      </c>
      <c r="Y644" s="7" t="s">
        <v>23</v>
      </c>
    </row>
    <row r="645" spans="1:25" hidden="1" x14ac:dyDescent="0.25">
      <c r="A645" s="256" t="s">
        <v>183</v>
      </c>
      <c r="B645" s="257">
        <v>45660</v>
      </c>
      <c r="C645" s="250" t="s">
        <v>521</v>
      </c>
      <c r="D645" s="250" t="s">
        <v>525</v>
      </c>
      <c r="E645" s="262">
        <v>1317608</v>
      </c>
      <c r="F645" s="258">
        <v>0</v>
      </c>
      <c r="G645" s="276">
        <f>Tabla3[[#This Row],[INGRESOS]]-Tabla3[[#This Row],[EGRESOS]]</f>
        <v>-1317608</v>
      </c>
      <c r="H645" s="132">
        <v>-6721792.3700000001</v>
      </c>
      <c r="I645" s="119">
        <v>1140</v>
      </c>
      <c r="J645" s="99">
        <f>Tabla3[[#This Row],[EGRESOS]]/Tabla3[[#This Row],[TC]]</f>
        <v>1155.7964912280702</v>
      </c>
      <c r="K645" s="99">
        <f>Tabla3[[#This Row],[INGRESOS]]/Tabla3[[#This Row],[TC]]</f>
        <v>0</v>
      </c>
      <c r="L645" s="7" t="s">
        <v>303</v>
      </c>
      <c r="M645" s="7" t="s">
        <v>304</v>
      </c>
      <c r="N645" s="7" t="s">
        <v>20</v>
      </c>
      <c r="O645" s="7" t="s">
        <v>197</v>
      </c>
      <c r="P645" s="7" t="s">
        <v>198</v>
      </c>
      <c r="Q645" s="7" t="s">
        <v>201</v>
      </c>
      <c r="R645" s="7" t="s">
        <v>203</v>
      </c>
      <c r="S645" s="7" t="s">
        <v>526</v>
      </c>
      <c r="T645" s="7" t="s">
        <v>527</v>
      </c>
      <c r="U645" s="7" t="s">
        <v>257</v>
      </c>
      <c r="V645" s="7"/>
      <c r="W645" s="7" t="s">
        <v>392</v>
      </c>
      <c r="X645" s="7" t="s">
        <v>29</v>
      </c>
      <c r="Y645" s="7" t="s">
        <v>23</v>
      </c>
    </row>
    <row r="646" spans="1:25" x14ac:dyDescent="0.25">
      <c r="A646" s="256" t="s">
        <v>183</v>
      </c>
      <c r="B646" s="257">
        <v>45660</v>
      </c>
      <c r="C646" s="250" t="s">
        <v>521</v>
      </c>
      <c r="D646" s="250" t="s">
        <v>528</v>
      </c>
      <c r="E646" s="262">
        <v>328116</v>
      </c>
      <c r="F646" s="258">
        <v>0</v>
      </c>
      <c r="G646" s="276">
        <f>Tabla3[[#This Row],[INGRESOS]]-Tabla3[[#This Row],[EGRESOS]]</f>
        <v>-328116</v>
      </c>
      <c r="H646" s="132">
        <v>-7049908.3700000001</v>
      </c>
      <c r="I646" s="119">
        <v>1140</v>
      </c>
      <c r="J646" s="99">
        <f>Tabla3[[#This Row],[EGRESOS]]/Tabla3[[#This Row],[TC]]</f>
        <v>287.82105263157894</v>
      </c>
      <c r="K646" s="99">
        <f>Tabla3[[#This Row],[INGRESOS]]/Tabla3[[#This Row],[TC]]</f>
        <v>0</v>
      </c>
      <c r="L646" s="7" t="s">
        <v>303</v>
      </c>
      <c r="M646" s="7" t="s">
        <v>304</v>
      </c>
      <c r="N646" s="7" t="s">
        <v>20</v>
      </c>
      <c r="O646" s="7" t="s">
        <v>742</v>
      </c>
      <c r="P646" s="7" t="s">
        <v>220</v>
      </c>
      <c r="Q646" s="7" t="s">
        <v>222</v>
      </c>
      <c r="R646" s="7" t="s">
        <v>142</v>
      </c>
      <c r="S646" s="7" t="s">
        <v>529</v>
      </c>
      <c r="T646" s="7" t="s">
        <v>530</v>
      </c>
      <c r="U646" s="7" t="s">
        <v>257</v>
      </c>
      <c r="V646" s="7"/>
      <c r="W646" s="7" t="s">
        <v>392</v>
      </c>
      <c r="X646" s="7" t="s">
        <v>29</v>
      </c>
      <c r="Y646" s="7" t="s">
        <v>23</v>
      </c>
    </row>
    <row r="647" spans="1:25" hidden="1" x14ac:dyDescent="0.25">
      <c r="A647" s="256" t="s">
        <v>183</v>
      </c>
      <c r="B647" s="257">
        <v>45660</v>
      </c>
      <c r="C647" s="250" t="s">
        <v>521</v>
      </c>
      <c r="D647" s="250" t="s">
        <v>531</v>
      </c>
      <c r="E647" s="262">
        <v>1151184.3999999999</v>
      </c>
      <c r="F647" s="258">
        <v>0</v>
      </c>
      <c r="G647" s="276">
        <f>Tabla3[[#This Row],[INGRESOS]]-Tabla3[[#This Row],[EGRESOS]]</f>
        <v>-1151184.3999999999</v>
      </c>
      <c r="H647" s="132">
        <v>-8201092.7699999996</v>
      </c>
      <c r="I647" s="119">
        <v>1140</v>
      </c>
      <c r="J647" s="99">
        <f>Tabla3[[#This Row],[EGRESOS]]/Tabla3[[#This Row],[TC]]</f>
        <v>1009.8108771929824</v>
      </c>
      <c r="K647" s="99">
        <f>Tabla3[[#This Row],[INGRESOS]]/Tabla3[[#This Row],[TC]]</f>
        <v>0</v>
      </c>
      <c r="L647" s="7" t="s">
        <v>303</v>
      </c>
      <c r="M647" s="7" t="s">
        <v>304</v>
      </c>
      <c r="N647" s="7" t="s">
        <v>20</v>
      </c>
      <c r="O647" s="7" t="s">
        <v>204</v>
      </c>
      <c r="P647" s="7" t="s">
        <v>205</v>
      </c>
      <c r="Q647" s="7" t="s">
        <v>206</v>
      </c>
      <c r="R647" s="7"/>
      <c r="S647" s="7" t="s">
        <v>325</v>
      </c>
      <c r="T647" s="7" t="s">
        <v>532</v>
      </c>
      <c r="U647" s="7" t="s">
        <v>257</v>
      </c>
      <c r="V647" s="7"/>
      <c r="W647" s="7" t="s">
        <v>392</v>
      </c>
      <c r="X647" s="7" t="s">
        <v>29</v>
      </c>
      <c r="Y647" s="7" t="s">
        <v>23</v>
      </c>
    </row>
    <row r="648" spans="1:25" hidden="1" x14ac:dyDescent="0.25">
      <c r="A648" s="256" t="s">
        <v>183</v>
      </c>
      <c r="B648" s="257">
        <v>45660</v>
      </c>
      <c r="C648" s="250" t="s">
        <v>521</v>
      </c>
      <c r="D648" s="250" t="s">
        <v>533</v>
      </c>
      <c r="E648" s="262">
        <v>839778</v>
      </c>
      <c r="F648" s="258">
        <v>0</v>
      </c>
      <c r="G648" s="276">
        <f>Tabla3[[#This Row],[INGRESOS]]-Tabla3[[#This Row],[EGRESOS]]</f>
        <v>-839778</v>
      </c>
      <c r="H648" s="132">
        <v>-9040870.7699999996</v>
      </c>
      <c r="I648" s="119">
        <v>1140</v>
      </c>
      <c r="J648" s="99">
        <f>Tabla3[[#This Row],[EGRESOS]]/Tabla3[[#This Row],[TC]]</f>
        <v>736.64736842105265</v>
      </c>
      <c r="K648" s="99">
        <f>Tabla3[[#This Row],[INGRESOS]]/Tabla3[[#This Row],[TC]]</f>
        <v>0</v>
      </c>
      <c r="L648" s="7" t="s">
        <v>303</v>
      </c>
      <c r="M648" s="7" t="s">
        <v>304</v>
      </c>
      <c r="N648" s="7" t="s">
        <v>20</v>
      </c>
      <c r="O648" s="7" t="s">
        <v>197</v>
      </c>
      <c r="P648" s="7" t="s">
        <v>198</v>
      </c>
      <c r="Q648" s="7" t="s">
        <v>201</v>
      </c>
      <c r="R648" s="7" t="s">
        <v>203</v>
      </c>
      <c r="S648" s="7" t="s">
        <v>526</v>
      </c>
      <c r="T648" s="7" t="s">
        <v>534</v>
      </c>
      <c r="U648" s="7" t="s">
        <v>257</v>
      </c>
      <c r="V648" s="7"/>
      <c r="W648" s="7" t="s">
        <v>392</v>
      </c>
      <c r="X648" s="7" t="s">
        <v>29</v>
      </c>
      <c r="Y648" s="7" t="s">
        <v>23</v>
      </c>
    </row>
    <row r="649" spans="1:25" hidden="1" x14ac:dyDescent="0.25">
      <c r="A649" s="256" t="s">
        <v>183</v>
      </c>
      <c r="B649" s="257">
        <v>45660</v>
      </c>
      <c r="C649" s="250" t="s">
        <v>535</v>
      </c>
      <c r="D649" s="250"/>
      <c r="E649" s="262">
        <v>0</v>
      </c>
      <c r="F649" s="258">
        <v>3100000</v>
      </c>
      <c r="G649" s="276">
        <f>Tabla3[[#This Row],[INGRESOS]]-Tabla3[[#This Row],[EGRESOS]]</f>
        <v>3100000</v>
      </c>
      <c r="H649" s="132">
        <v>-5940870.7699999996</v>
      </c>
      <c r="I649" s="119">
        <v>1140</v>
      </c>
      <c r="J649" s="99">
        <f>Tabla3[[#This Row],[EGRESOS]]/Tabla3[[#This Row],[TC]]</f>
        <v>0</v>
      </c>
      <c r="K649" s="99">
        <f>Tabla3[[#This Row],[INGRESOS]]/Tabla3[[#This Row],[TC]]</f>
        <v>2719.2982456140353</v>
      </c>
      <c r="L649" s="7" t="s">
        <v>303</v>
      </c>
      <c r="M649" s="7" t="s">
        <v>304</v>
      </c>
      <c r="N649" s="7" t="s">
        <v>20</v>
      </c>
      <c r="O649" s="7" t="s">
        <v>214</v>
      </c>
      <c r="P649" s="7" t="s">
        <v>216</v>
      </c>
      <c r="Q649" s="7" t="s">
        <v>217</v>
      </c>
      <c r="R649" s="7" t="s">
        <v>914</v>
      </c>
      <c r="S649" s="7"/>
      <c r="T649" s="7"/>
      <c r="U649" s="7" t="s">
        <v>262</v>
      </c>
      <c r="V649" s="7"/>
      <c r="W649" s="7" t="s">
        <v>306</v>
      </c>
      <c r="X649" s="7"/>
      <c r="Y649" s="7"/>
    </row>
    <row r="650" spans="1:25" hidden="1" x14ac:dyDescent="0.25">
      <c r="A650" s="256" t="s">
        <v>183</v>
      </c>
      <c r="B650" s="257">
        <v>45660</v>
      </c>
      <c r="C650" s="250" t="s">
        <v>535</v>
      </c>
      <c r="D650" s="250"/>
      <c r="E650" s="262">
        <v>0</v>
      </c>
      <c r="F650" s="258">
        <v>1000000</v>
      </c>
      <c r="G650" s="276">
        <f>Tabla3[[#This Row],[INGRESOS]]-Tabla3[[#This Row],[EGRESOS]]</f>
        <v>1000000</v>
      </c>
      <c r="H650" s="132">
        <v>-4940870.7699999996</v>
      </c>
      <c r="I650" s="119">
        <v>1140</v>
      </c>
      <c r="J650" s="99">
        <f>Tabla3[[#This Row],[EGRESOS]]/Tabla3[[#This Row],[TC]]</f>
        <v>0</v>
      </c>
      <c r="K650" s="99">
        <f>Tabla3[[#This Row],[INGRESOS]]/Tabla3[[#This Row],[TC]]</f>
        <v>877.19298245614038</v>
      </c>
      <c r="L650" s="7" t="s">
        <v>303</v>
      </c>
      <c r="M650" s="7" t="s">
        <v>304</v>
      </c>
      <c r="N650" s="7" t="s">
        <v>20</v>
      </c>
      <c r="O650" s="7" t="s">
        <v>214</v>
      </c>
      <c r="P650" s="7" t="s">
        <v>216</v>
      </c>
      <c r="Q650" s="7" t="s">
        <v>217</v>
      </c>
      <c r="R650" s="7" t="s">
        <v>914</v>
      </c>
      <c r="S650" s="7"/>
      <c r="T650" s="7"/>
      <c r="U650" s="7" t="s">
        <v>262</v>
      </c>
      <c r="V650" s="7"/>
      <c r="W650" s="7" t="s">
        <v>306</v>
      </c>
      <c r="X650" s="7"/>
      <c r="Y650" s="7"/>
    </row>
    <row r="651" spans="1:25" hidden="1" x14ac:dyDescent="0.25">
      <c r="A651" s="256" t="s">
        <v>183</v>
      </c>
      <c r="B651" s="257">
        <v>45660</v>
      </c>
      <c r="C651" s="250" t="s">
        <v>507</v>
      </c>
      <c r="D651" s="250"/>
      <c r="E651" s="262">
        <v>2383.5</v>
      </c>
      <c r="F651" s="258">
        <v>0</v>
      </c>
      <c r="G651" s="276">
        <f>Tabla3[[#This Row],[INGRESOS]]-Tabla3[[#This Row],[EGRESOS]]</f>
        <v>-2383.5</v>
      </c>
      <c r="H651" s="132">
        <v>-4943254.2699999996</v>
      </c>
      <c r="I651" s="119">
        <v>1140</v>
      </c>
      <c r="J651" s="99">
        <f>Tabla3[[#This Row],[EGRESOS]]/Tabla3[[#This Row],[TC]]</f>
        <v>2.0907894736842105</v>
      </c>
      <c r="K651" s="99">
        <f>Tabla3[[#This Row],[INGRESOS]]/Tabla3[[#This Row],[TC]]</f>
        <v>0</v>
      </c>
      <c r="L651" s="7" t="s">
        <v>303</v>
      </c>
      <c r="M651" s="7" t="s">
        <v>304</v>
      </c>
      <c r="N651" s="7" t="s">
        <v>20</v>
      </c>
      <c r="O651" s="7" t="s">
        <v>184</v>
      </c>
      <c r="P651" s="7" t="s">
        <v>187</v>
      </c>
      <c r="Q651" s="7" t="s">
        <v>188</v>
      </c>
      <c r="R651" s="7" t="s">
        <v>308</v>
      </c>
      <c r="S651" s="7"/>
      <c r="T651" s="7"/>
      <c r="U651" s="7" t="s">
        <v>261</v>
      </c>
      <c r="V651" s="7"/>
      <c r="W651" s="7" t="s">
        <v>306</v>
      </c>
      <c r="X651" s="7" t="s">
        <v>98</v>
      </c>
      <c r="Y651" s="7" t="s">
        <v>23</v>
      </c>
    </row>
    <row r="652" spans="1:25" hidden="1" x14ac:dyDescent="0.25">
      <c r="A652" s="256" t="s">
        <v>183</v>
      </c>
      <c r="B652" s="257">
        <v>45660</v>
      </c>
      <c r="C652" s="250" t="s">
        <v>508</v>
      </c>
      <c r="D652" s="250"/>
      <c r="E652" s="262">
        <v>340.5</v>
      </c>
      <c r="F652" s="258">
        <v>0</v>
      </c>
      <c r="G652" s="276">
        <f>Tabla3[[#This Row],[INGRESOS]]-Tabla3[[#This Row],[EGRESOS]]</f>
        <v>-340.5</v>
      </c>
      <c r="H652" s="132">
        <v>-4943594.7699999996</v>
      </c>
      <c r="I652" s="119">
        <v>1140</v>
      </c>
      <c r="J652" s="99">
        <f>Tabla3[[#This Row],[EGRESOS]]/Tabla3[[#This Row],[TC]]</f>
        <v>0.29868421052631577</v>
      </c>
      <c r="K652" s="99">
        <f>Tabla3[[#This Row],[INGRESOS]]/Tabla3[[#This Row],[TC]]</f>
        <v>0</v>
      </c>
      <c r="L652" s="7" t="s">
        <v>303</v>
      </c>
      <c r="M652" s="7" t="s">
        <v>304</v>
      </c>
      <c r="N652" s="7" t="s">
        <v>20</v>
      </c>
      <c r="O652" s="7" t="s">
        <v>184</v>
      </c>
      <c r="P652" s="7" t="s">
        <v>187</v>
      </c>
      <c r="Q652" s="7" t="s">
        <v>188</v>
      </c>
      <c r="R652" s="7" t="s">
        <v>334</v>
      </c>
      <c r="S652" s="7"/>
      <c r="T652" s="7"/>
      <c r="U652" s="7" t="s">
        <v>261</v>
      </c>
      <c r="V652" s="7"/>
      <c r="W652" s="7" t="s">
        <v>306</v>
      </c>
      <c r="X652" s="7" t="s">
        <v>98</v>
      </c>
      <c r="Y652" s="7" t="s">
        <v>23</v>
      </c>
    </row>
    <row r="653" spans="1:25" hidden="1" x14ac:dyDescent="0.25">
      <c r="A653" s="256" t="s">
        <v>183</v>
      </c>
      <c r="B653" s="257">
        <v>45660</v>
      </c>
      <c r="C653" s="250" t="s">
        <v>536</v>
      </c>
      <c r="D653" s="250"/>
      <c r="E653" s="262">
        <v>11350</v>
      </c>
      <c r="F653" s="258">
        <v>0</v>
      </c>
      <c r="G653" s="276">
        <f>Tabla3[[#This Row],[INGRESOS]]-Tabla3[[#This Row],[EGRESOS]]</f>
        <v>-11350</v>
      </c>
      <c r="H653" s="132">
        <v>-4954944.7699999996</v>
      </c>
      <c r="I653" s="119">
        <v>1140</v>
      </c>
      <c r="J653" s="99">
        <f>Tabla3[[#This Row],[EGRESOS]]/Tabla3[[#This Row],[TC]]</f>
        <v>9.9561403508771935</v>
      </c>
      <c r="K653" s="99">
        <f>Tabla3[[#This Row],[INGRESOS]]/Tabla3[[#This Row],[TC]]</f>
        <v>0</v>
      </c>
      <c r="L653" s="7" t="s">
        <v>303</v>
      </c>
      <c r="M653" s="7" t="s">
        <v>304</v>
      </c>
      <c r="N653" s="7" t="s">
        <v>20</v>
      </c>
      <c r="O653" s="7" t="s">
        <v>184</v>
      </c>
      <c r="P653" s="7" t="s">
        <v>185</v>
      </c>
      <c r="Q653" s="7" t="s">
        <v>186</v>
      </c>
      <c r="R653" s="7"/>
      <c r="S653" s="7"/>
      <c r="T653" s="7"/>
      <c r="U653" s="7" t="s">
        <v>261</v>
      </c>
      <c r="V653" s="7"/>
      <c r="W653" s="7" t="s">
        <v>306</v>
      </c>
      <c r="X653" s="7" t="s">
        <v>98</v>
      </c>
      <c r="Y653" s="7" t="s">
        <v>23</v>
      </c>
    </row>
    <row r="654" spans="1:25" hidden="1" x14ac:dyDescent="0.25">
      <c r="A654" s="256" t="s">
        <v>183</v>
      </c>
      <c r="B654" s="257">
        <v>45660</v>
      </c>
      <c r="C654" s="250" t="s">
        <v>637</v>
      </c>
      <c r="D654" s="250"/>
      <c r="E654" s="262">
        <v>21904.57</v>
      </c>
      <c r="F654" s="258">
        <v>0</v>
      </c>
      <c r="G654" s="276">
        <f>Tabla3[[#This Row],[INGRESOS]]-Tabla3[[#This Row],[EGRESOS]]</f>
        <v>-21904.57</v>
      </c>
      <c r="H654" s="132">
        <v>-4976849.34</v>
      </c>
      <c r="I654" s="119">
        <v>1140</v>
      </c>
      <c r="J654" s="99">
        <f>Tabla3[[#This Row],[EGRESOS]]/Tabla3[[#This Row],[TC]]</f>
        <v>19.214535087719298</v>
      </c>
      <c r="K654" s="99">
        <f>Tabla3[[#This Row],[INGRESOS]]/Tabla3[[#This Row],[TC]]</f>
        <v>0</v>
      </c>
      <c r="L654" s="7" t="s">
        <v>303</v>
      </c>
      <c r="M654" s="7" t="s">
        <v>304</v>
      </c>
      <c r="N654" s="7" t="s">
        <v>20</v>
      </c>
      <c r="O654" s="7" t="s">
        <v>184</v>
      </c>
      <c r="P654" s="7" t="s">
        <v>187</v>
      </c>
      <c r="Q654" s="7" t="s">
        <v>188</v>
      </c>
      <c r="R654" s="7" t="s">
        <v>317</v>
      </c>
      <c r="S654" s="7"/>
      <c r="T654" s="7"/>
      <c r="U654" s="7" t="s">
        <v>261</v>
      </c>
      <c r="V654" s="7"/>
      <c r="W654" s="7" t="s">
        <v>306</v>
      </c>
      <c r="X654" s="7" t="s">
        <v>98</v>
      </c>
      <c r="Y654" s="7" t="s">
        <v>23</v>
      </c>
    </row>
    <row r="655" spans="1:25" hidden="1" x14ac:dyDescent="0.25">
      <c r="A655" s="256" t="s">
        <v>183</v>
      </c>
      <c r="B655" s="257">
        <v>45660</v>
      </c>
      <c r="C655" s="250" t="s">
        <v>537</v>
      </c>
      <c r="D655" s="250"/>
      <c r="E655" s="262">
        <v>659682.38</v>
      </c>
      <c r="F655" s="258">
        <v>0</v>
      </c>
      <c r="G655" s="276">
        <f>Tabla3[[#This Row],[INGRESOS]]-Tabla3[[#This Row],[EGRESOS]]</f>
        <v>-659682.38</v>
      </c>
      <c r="H655" s="132">
        <v>-5636531.7199999997</v>
      </c>
      <c r="I655" s="119">
        <v>1140</v>
      </c>
      <c r="J655" s="99">
        <f>Tabla3[[#This Row],[EGRESOS]]/Tabla3[[#This Row],[TC]]</f>
        <v>578.66875438596492</v>
      </c>
      <c r="K655" s="99">
        <f>Tabla3[[#This Row],[INGRESOS]]/Tabla3[[#This Row],[TC]]</f>
        <v>0</v>
      </c>
      <c r="L655" s="7" t="s">
        <v>303</v>
      </c>
      <c r="M655" s="7" t="s">
        <v>304</v>
      </c>
      <c r="N655" s="7" t="s">
        <v>20</v>
      </c>
      <c r="O655" s="7" t="s">
        <v>214</v>
      </c>
      <c r="P655" s="7" t="s">
        <v>216</v>
      </c>
      <c r="Q655" s="7" t="s">
        <v>217</v>
      </c>
      <c r="R655" s="7" t="s">
        <v>538</v>
      </c>
      <c r="S655" s="7"/>
      <c r="T655" s="7"/>
      <c r="U655" s="7" t="s">
        <v>262</v>
      </c>
      <c r="V655" s="7"/>
      <c r="W655" s="7" t="s">
        <v>306</v>
      </c>
      <c r="X655" s="7"/>
      <c r="Y655" s="7"/>
    </row>
    <row r="656" spans="1:25" hidden="1" x14ac:dyDescent="0.25">
      <c r="A656" s="369" t="s">
        <v>183</v>
      </c>
      <c r="B656" s="370">
        <v>45663</v>
      </c>
      <c r="C656" s="371" t="s">
        <v>521</v>
      </c>
      <c r="D656" s="371" t="s">
        <v>539</v>
      </c>
      <c r="E656" s="262">
        <v>102000</v>
      </c>
      <c r="F656" s="372">
        <v>0</v>
      </c>
      <c r="G656" s="373">
        <f>Tabla3[[#This Row],[INGRESOS]]-Tabla3[[#This Row],[EGRESOS]]</f>
        <v>-102000</v>
      </c>
      <c r="H656" s="376">
        <v>-5738531.7199999997</v>
      </c>
      <c r="I656" s="372">
        <v>1140</v>
      </c>
      <c r="J656" s="375">
        <f>Tabla3[[#This Row],[EGRESOS]]/Tabla3[[#This Row],[TC]]</f>
        <v>89.473684210526315</v>
      </c>
      <c r="K656" s="375">
        <f>Tabla3[[#This Row],[INGRESOS]]/Tabla3[[#This Row],[TC]]</f>
        <v>0</v>
      </c>
      <c r="L656" s="371" t="s">
        <v>303</v>
      </c>
      <c r="M656" s="371" t="s">
        <v>304</v>
      </c>
      <c r="N656" s="371" t="s">
        <v>20</v>
      </c>
      <c r="O656" s="371" t="s">
        <v>204</v>
      </c>
      <c r="P656" s="371" t="s">
        <v>208</v>
      </c>
      <c r="Q656" s="371" t="s">
        <v>209</v>
      </c>
      <c r="R656" s="371" t="s">
        <v>540</v>
      </c>
      <c r="S656" s="371" t="s">
        <v>541</v>
      </c>
      <c r="T656" s="371"/>
      <c r="U656" s="371" t="s">
        <v>258</v>
      </c>
      <c r="V656" s="371"/>
      <c r="W656" s="371" t="s">
        <v>919</v>
      </c>
      <c r="X656" s="371" t="s">
        <v>49</v>
      </c>
      <c r="Y656" s="371" t="s">
        <v>23</v>
      </c>
    </row>
    <row r="657" spans="1:25" x14ac:dyDescent="0.25">
      <c r="A657" s="256" t="s">
        <v>183</v>
      </c>
      <c r="B657" s="257">
        <v>45663</v>
      </c>
      <c r="C657" s="250" t="s">
        <v>542</v>
      </c>
      <c r="D657" s="250"/>
      <c r="E657" s="262">
        <v>40000</v>
      </c>
      <c r="F657" s="258">
        <v>0</v>
      </c>
      <c r="G657" s="276">
        <f>Tabla3[[#This Row],[INGRESOS]]-Tabla3[[#This Row],[EGRESOS]]</f>
        <v>-40000</v>
      </c>
      <c r="H657" s="132">
        <v>-5778531.7199999997</v>
      </c>
      <c r="I657" s="119">
        <v>1140</v>
      </c>
      <c r="J657" s="99">
        <f>Tabla3[[#This Row],[EGRESOS]]/Tabla3[[#This Row],[TC]]</f>
        <v>35.087719298245617</v>
      </c>
      <c r="K657" s="99">
        <f>Tabla3[[#This Row],[INGRESOS]]/Tabla3[[#This Row],[TC]]</f>
        <v>0</v>
      </c>
      <c r="L657" s="7" t="s">
        <v>303</v>
      </c>
      <c r="M657" s="7" t="s">
        <v>304</v>
      </c>
      <c r="N657" s="7" t="s">
        <v>20</v>
      </c>
      <c r="O657" s="7" t="s">
        <v>742</v>
      </c>
      <c r="P657" s="7" t="s">
        <v>220</v>
      </c>
      <c r="Q657" s="7" t="s">
        <v>221</v>
      </c>
      <c r="R657" s="7" t="s">
        <v>543</v>
      </c>
      <c r="S657" s="7" t="s">
        <v>486</v>
      </c>
      <c r="T657" s="7" t="s">
        <v>544</v>
      </c>
      <c r="U657" s="7" t="s">
        <v>257</v>
      </c>
      <c r="V657" s="7"/>
      <c r="W657" s="7" t="s">
        <v>306</v>
      </c>
      <c r="X657" s="7" t="s">
        <v>29</v>
      </c>
      <c r="Y657" s="7" t="s">
        <v>23</v>
      </c>
    </row>
    <row r="658" spans="1:25" hidden="1" x14ac:dyDescent="0.25">
      <c r="A658" s="256" t="s">
        <v>183</v>
      </c>
      <c r="B658" s="257">
        <v>45663</v>
      </c>
      <c r="C658" s="250" t="s">
        <v>637</v>
      </c>
      <c r="D658" s="250"/>
      <c r="E658" s="262">
        <v>852</v>
      </c>
      <c r="F658" s="258">
        <v>0</v>
      </c>
      <c r="G658" s="276">
        <f>Tabla3[[#This Row],[INGRESOS]]-Tabla3[[#This Row],[EGRESOS]]</f>
        <v>-852</v>
      </c>
      <c r="H658" s="132">
        <v>-5779383.7199999997</v>
      </c>
      <c r="I658" s="119">
        <v>1140</v>
      </c>
      <c r="J658" s="99">
        <f>Tabla3[[#This Row],[EGRESOS]]/Tabla3[[#This Row],[TC]]</f>
        <v>0.74736842105263157</v>
      </c>
      <c r="K658" s="99">
        <f>Tabla3[[#This Row],[INGRESOS]]/Tabla3[[#This Row],[TC]]</f>
        <v>0</v>
      </c>
      <c r="L658" s="7" t="s">
        <v>303</v>
      </c>
      <c r="M658" s="7" t="s">
        <v>304</v>
      </c>
      <c r="N658" s="7" t="s">
        <v>20</v>
      </c>
      <c r="O658" s="7" t="s">
        <v>184</v>
      </c>
      <c r="P658" s="7" t="s">
        <v>187</v>
      </c>
      <c r="Q658" s="7" t="s">
        <v>188</v>
      </c>
      <c r="R658" s="7" t="s">
        <v>317</v>
      </c>
      <c r="S658" s="7"/>
      <c r="T658" s="7"/>
      <c r="U658" s="7" t="s">
        <v>261</v>
      </c>
      <c r="V658" s="7"/>
      <c r="W658" s="7" t="s">
        <v>306</v>
      </c>
      <c r="X658" s="7" t="s">
        <v>98</v>
      </c>
      <c r="Y658" s="7" t="s">
        <v>23</v>
      </c>
    </row>
    <row r="659" spans="1:25" hidden="1" x14ac:dyDescent="0.25">
      <c r="A659" s="256" t="s">
        <v>183</v>
      </c>
      <c r="B659" s="257">
        <v>45665</v>
      </c>
      <c r="C659" s="250" t="s">
        <v>507</v>
      </c>
      <c r="D659" s="250"/>
      <c r="E659" s="262">
        <v>14616</v>
      </c>
      <c r="F659" s="258">
        <v>0</v>
      </c>
      <c r="G659" s="276">
        <f>Tabla3[[#This Row],[INGRESOS]]-Tabla3[[#This Row],[EGRESOS]]</f>
        <v>-14616</v>
      </c>
      <c r="H659" s="132">
        <v>-5793999.7199999997</v>
      </c>
      <c r="I659" s="119">
        <v>1140</v>
      </c>
      <c r="J659" s="99">
        <f>Tabla3[[#This Row],[EGRESOS]]/Tabla3[[#This Row],[TC]]</f>
        <v>12.821052631578947</v>
      </c>
      <c r="K659" s="99">
        <f>Tabla3[[#This Row],[INGRESOS]]/Tabla3[[#This Row],[TC]]</f>
        <v>0</v>
      </c>
      <c r="L659" s="7" t="s">
        <v>303</v>
      </c>
      <c r="M659" s="7" t="s">
        <v>304</v>
      </c>
      <c r="N659" s="7" t="s">
        <v>20</v>
      </c>
      <c r="O659" s="7" t="s">
        <v>184</v>
      </c>
      <c r="P659" s="7" t="s">
        <v>187</v>
      </c>
      <c r="Q659" s="7" t="s">
        <v>188</v>
      </c>
      <c r="R659" s="7" t="s">
        <v>308</v>
      </c>
      <c r="S659" s="7"/>
      <c r="T659" s="7"/>
      <c r="U659" s="7" t="s">
        <v>261</v>
      </c>
      <c r="V659" s="7"/>
      <c r="W659" s="7" t="s">
        <v>306</v>
      </c>
      <c r="X659" s="7" t="s">
        <v>98</v>
      </c>
      <c r="Y659" s="7" t="s">
        <v>23</v>
      </c>
    </row>
    <row r="660" spans="1:25" hidden="1" x14ac:dyDescent="0.25">
      <c r="A660" s="256" t="s">
        <v>183</v>
      </c>
      <c r="B660" s="257">
        <v>45665</v>
      </c>
      <c r="C660" s="250" t="s">
        <v>508</v>
      </c>
      <c r="D660" s="250"/>
      <c r="E660" s="262">
        <v>2088</v>
      </c>
      <c r="F660" s="258">
        <v>0</v>
      </c>
      <c r="G660" s="276">
        <f>Tabla3[[#This Row],[INGRESOS]]-Tabla3[[#This Row],[EGRESOS]]</f>
        <v>-2088</v>
      </c>
      <c r="H660" s="132">
        <v>-5796087.7199999997</v>
      </c>
      <c r="I660" s="119">
        <v>1140</v>
      </c>
      <c r="J660" s="99">
        <f>Tabla3[[#This Row],[EGRESOS]]/Tabla3[[#This Row],[TC]]</f>
        <v>1.831578947368421</v>
      </c>
      <c r="K660" s="99">
        <f>Tabla3[[#This Row],[INGRESOS]]/Tabla3[[#This Row],[TC]]</f>
        <v>0</v>
      </c>
      <c r="L660" s="7" t="s">
        <v>303</v>
      </c>
      <c r="M660" s="7" t="s">
        <v>304</v>
      </c>
      <c r="N660" s="7" t="s">
        <v>20</v>
      </c>
      <c r="O660" s="7" t="s">
        <v>184</v>
      </c>
      <c r="P660" s="7" t="s">
        <v>187</v>
      </c>
      <c r="Q660" s="7" t="s">
        <v>188</v>
      </c>
      <c r="R660" s="7" t="s">
        <v>334</v>
      </c>
      <c r="S660" s="7"/>
      <c r="T660" s="7"/>
      <c r="U660" s="7" t="s">
        <v>261</v>
      </c>
      <c r="V660" s="7"/>
      <c r="W660" s="7" t="s">
        <v>306</v>
      </c>
      <c r="X660" s="7" t="s">
        <v>98</v>
      </c>
      <c r="Y660" s="7" t="s">
        <v>23</v>
      </c>
    </row>
    <row r="661" spans="1:25" hidden="1" x14ac:dyDescent="0.25">
      <c r="A661" s="256" t="s">
        <v>183</v>
      </c>
      <c r="B661" s="257">
        <v>45665</v>
      </c>
      <c r="C661" s="250" t="s">
        <v>545</v>
      </c>
      <c r="D661" s="250"/>
      <c r="E661" s="262">
        <v>69600</v>
      </c>
      <c r="F661" s="258">
        <v>0</v>
      </c>
      <c r="G661" s="276">
        <f>Tabla3[[#This Row],[INGRESOS]]-Tabla3[[#This Row],[EGRESOS]]</f>
        <v>-69600</v>
      </c>
      <c r="H661" s="132">
        <v>-5865687.7199999997</v>
      </c>
      <c r="I661" s="119">
        <v>1140</v>
      </c>
      <c r="J661" s="99">
        <f>Tabla3[[#This Row],[EGRESOS]]/Tabla3[[#This Row],[TC]]</f>
        <v>61.05263157894737</v>
      </c>
      <c r="K661" s="99">
        <f>Tabla3[[#This Row],[INGRESOS]]/Tabla3[[#This Row],[TC]]</f>
        <v>0</v>
      </c>
      <c r="L661" s="7" t="s">
        <v>303</v>
      </c>
      <c r="M661" s="7" t="s">
        <v>304</v>
      </c>
      <c r="N661" s="7" t="s">
        <v>20</v>
      </c>
      <c r="O661" s="7" t="s">
        <v>184</v>
      </c>
      <c r="P661" s="7" t="s">
        <v>185</v>
      </c>
      <c r="Q661" s="7" t="s">
        <v>186</v>
      </c>
      <c r="R661" s="7"/>
      <c r="S661" s="7"/>
      <c r="T661" s="7"/>
      <c r="U661" s="7" t="s">
        <v>261</v>
      </c>
      <c r="V661" s="7"/>
      <c r="W661" s="7" t="s">
        <v>306</v>
      </c>
      <c r="X661" s="7" t="s">
        <v>98</v>
      </c>
      <c r="Y661" s="7" t="s">
        <v>23</v>
      </c>
    </row>
    <row r="662" spans="1:25" hidden="1" x14ac:dyDescent="0.25">
      <c r="A662" s="256" t="s">
        <v>183</v>
      </c>
      <c r="B662" s="257">
        <v>45665</v>
      </c>
      <c r="C662" s="250" t="s">
        <v>637</v>
      </c>
      <c r="D662" s="250"/>
      <c r="E662" s="262">
        <v>517.82000000000005</v>
      </c>
      <c r="F662" s="258">
        <v>0</v>
      </c>
      <c r="G662" s="276">
        <f>Tabla3[[#This Row],[INGRESOS]]-Tabla3[[#This Row],[EGRESOS]]</f>
        <v>-517.82000000000005</v>
      </c>
      <c r="H662" s="132">
        <v>-5866205.54</v>
      </c>
      <c r="I662" s="119">
        <v>1140</v>
      </c>
      <c r="J662" s="99">
        <f>Tabla3[[#This Row],[EGRESOS]]/Tabla3[[#This Row],[TC]]</f>
        <v>0.45422807017543865</v>
      </c>
      <c r="K662" s="99">
        <f>Tabla3[[#This Row],[INGRESOS]]/Tabla3[[#This Row],[TC]]</f>
        <v>0</v>
      </c>
      <c r="L662" s="7" t="s">
        <v>303</v>
      </c>
      <c r="M662" s="7" t="s">
        <v>304</v>
      </c>
      <c r="N662" s="7" t="s">
        <v>20</v>
      </c>
      <c r="O662" s="7" t="s">
        <v>184</v>
      </c>
      <c r="P662" s="7" t="s">
        <v>187</v>
      </c>
      <c r="Q662" s="7" t="s">
        <v>188</v>
      </c>
      <c r="R662" s="7" t="s">
        <v>317</v>
      </c>
      <c r="S662" s="7"/>
      <c r="T662" s="7"/>
      <c r="U662" s="7" t="s">
        <v>261</v>
      </c>
      <c r="V662" s="7"/>
      <c r="W662" s="7" t="s">
        <v>306</v>
      </c>
      <c r="X662" s="7" t="s">
        <v>98</v>
      </c>
      <c r="Y662" s="7" t="s">
        <v>23</v>
      </c>
    </row>
    <row r="663" spans="1:25" hidden="1" x14ac:dyDescent="0.25">
      <c r="A663" s="256" t="s">
        <v>183</v>
      </c>
      <c r="B663" s="257">
        <v>45665</v>
      </c>
      <c r="C663" s="250" t="s">
        <v>537</v>
      </c>
      <c r="D663" s="250"/>
      <c r="E663" s="262">
        <v>4989.76</v>
      </c>
      <c r="F663" s="258">
        <v>0</v>
      </c>
      <c r="G663" s="276">
        <f>Tabla3[[#This Row],[INGRESOS]]-Tabla3[[#This Row],[EGRESOS]]</f>
        <v>-4989.76</v>
      </c>
      <c r="H663" s="132">
        <v>-5871195.2999999998</v>
      </c>
      <c r="I663" s="119">
        <v>1140</v>
      </c>
      <c r="J663" s="99">
        <f>Tabla3[[#This Row],[EGRESOS]]/Tabla3[[#This Row],[TC]]</f>
        <v>4.3769824561403512</v>
      </c>
      <c r="K663" s="99">
        <f>Tabla3[[#This Row],[INGRESOS]]/Tabla3[[#This Row],[TC]]</f>
        <v>0</v>
      </c>
      <c r="L663" s="7" t="s">
        <v>303</v>
      </c>
      <c r="M663" s="7" t="s">
        <v>304</v>
      </c>
      <c r="N663" s="7" t="s">
        <v>20</v>
      </c>
      <c r="O663" s="7" t="s">
        <v>214</v>
      </c>
      <c r="P663" s="7" t="s">
        <v>216</v>
      </c>
      <c r="Q663" s="7" t="s">
        <v>217</v>
      </c>
      <c r="R663" s="7" t="s">
        <v>546</v>
      </c>
      <c r="S663" s="7"/>
      <c r="T663" s="7"/>
      <c r="U663" s="7" t="s">
        <v>262</v>
      </c>
      <c r="V663" s="7"/>
      <c r="W663" s="7" t="s">
        <v>306</v>
      </c>
      <c r="X663" s="7"/>
      <c r="Y663" s="7"/>
    </row>
    <row r="664" spans="1:25" x14ac:dyDescent="0.25">
      <c r="A664" s="256" t="s">
        <v>183</v>
      </c>
      <c r="B664" s="257">
        <v>45666</v>
      </c>
      <c r="C664" s="250" t="s">
        <v>521</v>
      </c>
      <c r="D664" s="250" t="s">
        <v>547</v>
      </c>
      <c r="E664" s="262">
        <v>392000</v>
      </c>
      <c r="F664" s="258">
        <v>0</v>
      </c>
      <c r="G664" s="276">
        <f>Tabla3[[#This Row],[INGRESOS]]-Tabla3[[#This Row],[EGRESOS]]</f>
        <v>-392000</v>
      </c>
      <c r="H664" s="132">
        <v>-6263195.2999999998</v>
      </c>
      <c r="I664" s="119">
        <v>1140</v>
      </c>
      <c r="J664" s="99">
        <f>Tabla3[[#This Row],[EGRESOS]]/Tabla3[[#This Row],[TC]]</f>
        <v>343.85964912280701</v>
      </c>
      <c r="K664" s="99">
        <f>Tabla3[[#This Row],[INGRESOS]]/Tabla3[[#This Row],[TC]]</f>
        <v>0</v>
      </c>
      <c r="L664" s="7" t="s">
        <v>303</v>
      </c>
      <c r="M664" s="7" t="s">
        <v>304</v>
      </c>
      <c r="N664" s="7" t="s">
        <v>20</v>
      </c>
      <c r="O664" s="7" t="s">
        <v>742</v>
      </c>
      <c r="P664" s="7" t="s">
        <v>220</v>
      </c>
      <c r="Q664" s="7" t="s">
        <v>199</v>
      </c>
      <c r="R664" s="7" t="s">
        <v>226</v>
      </c>
      <c r="S664" s="7" t="s">
        <v>548</v>
      </c>
      <c r="T664" s="7" t="s">
        <v>549</v>
      </c>
      <c r="U664" s="7" t="s">
        <v>257</v>
      </c>
      <c r="V664" s="7"/>
      <c r="W664" s="7" t="s">
        <v>306</v>
      </c>
      <c r="X664" s="7" t="s">
        <v>29</v>
      </c>
      <c r="Y664" s="7" t="s">
        <v>23</v>
      </c>
    </row>
    <row r="665" spans="1:25" hidden="1" x14ac:dyDescent="0.25">
      <c r="A665" s="256" t="s">
        <v>183</v>
      </c>
      <c r="B665" s="257">
        <v>45666</v>
      </c>
      <c r="C665" s="250" t="s">
        <v>535</v>
      </c>
      <c r="D665" s="250"/>
      <c r="E665" s="262">
        <v>0</v>
      </c>
      <c r="F665" s="258">
        <v>500000</v>
      </c>
      <c r="G665" s="276">
        <f>Tabla3[[#This Row],[INGRESOS]]-Tabla3[[#This Row],[EGRESOS]]</f>
        <v>500000</v>
      </c>
      <c r="H665" s="132">
        <v>-5763195.2999999998</v>
      </c>
      <c r="I665" s="119">
        <v>1140</v>
      </c>
      <c r="J665" s="99">
        <f>Tabla3[[#This Row],[EGRESOS]]/Tabla3[[#This Row],[TC]]</f>
        <v>0</v>
      </c>
      <c r="K665" s="99">
        <f>Tabla3[[#This Row],[INGRESOS]]/Tabla3[[#This Row],[TC]]</f>
        <v>438.59649122807019</v>
      </c>
      <c r="L665" s="7" t="s">
        <v>303</v>
      </c>
      <c r="M665" s="7" t="s">
        <v>304</v>
      </c>
      <c r="N665" s="7" t="s">
        <v>20</v>
      </c>
      <c r="O665" s="7" t="s">
        <v>214</v>
      </c>
      <c r="P665" s="7" t="s">
        <v>216</v>
      </c>
      <c r="Q665" s="7" t="s">
        <v>217</v>
      </c>
      <c r="R665" s="7" t="s">
        <v>914</v>
      </c>
      <c r="S665" s="7"/>
      <c r="T665" s="7"/>
      <c r="U665" s="7" t="s">
        <v>262</v>
      </c>
      <c r="V665" s="7"/>
      <c r="W665" s="7" t="s">
        <v>306</v>
      </c>
      <c r="X665" s="7"/>
      <c r="Y665" s="7"/>
    </row>
    <row r="666" spans="1:25" hidden="1" x14ac:dyDescent="0.25">
      <c r="A666" s="256" t="s">
        <v>183</v>
      </c>
      <c r="B666" s="257">
        <v>45666</v>
      </c>
      <c r="C666" s="250" t="s">
        <v>507</v>
      </c>
      <c r="D666" s="250"/>
      <c r="E666" s="262">
        <v>2383.5</v>
      </c>
      <c r="F666" s="258">
        <v>0</v>
      </c>
      <c r="G666" s="276">
        <f>Tabla3[[#This Row],[INGRESOS]]-Tabla3[[#This Row],[EGRESOS]]</f>
        <v>-2383.5</v>
      </c>
      <c r="H666" s="132">
        <v>-5765578.7999999998</v>
      </c>
      <c r="I666" s="119">
        <v>1140</v>
      </c>
      <c r="J666" s="99">
        <f>Tabla3[[#This Row],[EGRESOS]]/Tabla3[[#This Row],[TC]]</f>
        <v>2.0907894736842105</v>
      </c>
      <c r="K666" s="99">
        <f>Tabla3[[#This Row],[INGRESOS]]/Tabla3[[#This Row],[TC]]</f>
        <v>0</v>
      </c>
      <c r="L666" s="7" t="s">
        <v>303</v>
      </c>
      <c r="M666" s="7" t="s">
        <v>304</v>
      </c>
      <c r="N666" s="7" t="s">
        <v>20</v>
      </c>
      <c r="O666" s="7" t="s">
        <v>184</v>
      </c>
      <c r="P666" s="7" t="s">
        <v>187</v>
      </c>
      <c r="Q666" s="7" t="s">
        <v>188</v>
      </c>
      <c r="R666" s="7" t="s">
        <v>308</v>
      </c>
      <c r="S666" s="7"/>
      <c r="T666" s="7"/>
      <c r="U666" s="7" t="s">
        <v>261</v>
      </c>
      <c r="V666" s="7"/>
      <c r="W666" s="7" t="s">
        <v>306</v>
      </c>
      <c r="X666" s="7" t="s">
        <v>98</v>
      </c>
      <c r="Y666" s="7" t="s">
        <v>23</v>
      </c>
    </row>
    <row r="667" spans="1:25" hidden="1" x14ac:dyDescent="0.25">
      <c r="A667" s="256" t="s">
        <v>183</v>
      </c>
      <c r="B667" s="257">
        <v>45666</v>
      </c>
      <c r="C667" s="250" t="s">
        <v>508</v>
      </c>
      <c r="D667" s="250"/>
      <c r="E667" s="262">
        <v>340.5</v>
      </c>
      <c r="F667" s="258">
        <v>0</v>
      </c>
      <c r="G667" s="276">
        <f>Tabla3[[#This Row],[INGRESOS]]-Tabla3[[#This Row],[EGRESOS]]</f>
        <v>-340.5</v>
      </c>
      <c r="H667" s="137">
        <v>-5765919.2999999998</v>
      </c>
      <c r="I667" s="119">
        <v>1140</v>
      </c>
      <c r="J667" s="99">
        <f>Tabla3[[#This Row],[EGRESOS]]/Tabla3[[#This Row],[TC]]</f>
        <v>0.29868421052631577</v>
      </c>
      <c r="K667" s="99">
        <f>Tabla3[[#This Row],[INGRESOS]]/Tabla3[[#This Row],[TC]]</f>
        <v>0</v>
      </c>
      <c r="L667" s="7" t="s">
        <v>303</v>
      </c>
      <c r="M667" s="7" t="s">
        <v>304</v>
      </c>
      <c r="N667" s="7" t="s">
        <v>20</v>
      </c>
      <c r="O667" s="7" t="s">
        <v>184</v>
      </c>
      <c r="P667" s="7" t="s">
        <v>187</v>
      </c>
      <c r="Q667" s="7" t="s">
        <v>188</v>
      </c>
      <c r="R667" s="7" t="s">
        <v>334</v>
      </c>
      <c r="S667" s="7"/>
      <c r="T667" s="7"/>
      <c r="U667" s="7" t="s">
        <v>261</v>
      </c>
      <c r="V667" s="7"/>
      <c r="W667" s="7" t="s">
        <v>306</v>
      </c>
      <c r="X667" s="7" t="s">
        <v>98</v>
      </c>
      <c r="Y667" s="7" t="s">
        <v>23</v>
      </c>
    </row>
    <row r="668" spans="1:25" hidden="1" x14ac:dyDescent="0.25">
      <c r="A668" s="256" t="s">
        <v>183</v>
      </c>
      <c r="B668" s="257">
        <v>45666</v>
      </c>
      <c r="C668" s="250" t="s">
        <v>536</v>
      </c>
      <c r="D668" s="250"/>
      <c r="E668" s="262">
        <v>11350</v>
      </c>
      <c r="F668" s="258">
        <v>0</v>
      </c>
      <c r="G668" s="276">
        <f>Tabla3[[#This Row],[INGRESOS]]-Tabla3[[#This Row],[EGRESOS]]</f>
        <v>-11350</v>
      </c>
      <c r="H668" s="137">
        <v>-5777269.2999999998</v>
      </c>
      <c r="I668" s="119">
        <v>1140</v>
      </c>
      <c r="J668" s="99">
        <f>Tabla3[[#This Row],[EGRESOS]]/Tabla3[[#This Row],[TC]]</f>
        <v>9.9561403508771935</v>
      </c>
      <c r="K668" s="99">
        <f>Tabla3[[#This Row],[INGRESOS]]/Tabla3[[#This Row],[TC]]</f>
        <v>0</v>
      </c>
      <c r="L668" s="7" t="s">
        <v>303</v>
      </c>
      <c r="M668" s="7" t="s">
        <v>304</v>
      </c>
      <c r="N668" s="7" t="s">
        <v>20</v>
      </c>
      <c r="O668" s="7" t="s">
        <v>184</v>
      </c>
      <c r="P668" s="7" t="s">
        <v>185</v>
      </c>
      <c r="Q668" s="7" t="s">
        <v>186</v>
      </c>
      <c r="R668" s="7"/>
      <c r="S668" s="7"/>
      <c r="T668" s="7"/>
      <c r="U668" s="7" t="s">
        <v>261</v>
      </c>
      <c r="V668" s="7"/>
      <c r="W668" s="7" t="s">
        <v>306</v>
      </c>
      <c r="X668" s="7" t="s">
        <v>98</v>
      </c>
      <c r="Y668" s="7" t="s">
        <v>23</v>
      </c>
    </row>
    <row r="669" spans="1:25" hidden="1" x14ac:dyDescent="0.25">
      <c r="A669" s="256" t="s">
        <v>183</v>
      </c>
      <c r="B669" s="257">
        <v>45666</v>
      </c>
      <c r="C669" s="250" t="s">
        <v>637</v>
      </c>
      <c r="D669" s="250"/>
      <c r="E669" s="262">
        <v>2436.44</v>
      </c>
      <c r="F669" s="258">
        <v>0</v>
      </c>
      <c r="G669" s="276">
        <f>Tabla3[[#This Row],[INGRESOS]]-Tabla3[[#This Row],[EGRESOS]]</f>
        <v>-2436.44</v>
      </c>
      <c r="H669" s="137">
        <v>-5779705.7400000002</v>
      </c>
      <c r="I669" s="119">
        <v>1140</v>
      </c>
      <c r="J669" s="99">
        <f>Tabla3[[#This Row],[EGRESOS]]/Tabla3[[#This Row],[TC]]</f>
        <v>2.1372280701754387</v>
      </c>
      <c r="K669" s="99">
        <f>Tabla3[[#This Row],[INGRESOS]]/Tabla3[[#This Row],[TC]]</f>
        <v>0</v>
      </c>
      <c r="L669" s="7" t="s">
        <v>303</v>
      </c>
      <c r="M669" s="7" t="s">
        <v>304</v>
      </c>
      <c r="N669" s="7" t="s">
        <v>20</v>
      </c>
      <c r="O669" s="7" t="s">
        <v>184</v>
      </c>
      <c r="P669" s="7" t="s">
        <v>187</v>
      </c>
      <c r="Q669" s="7" t="s">
        <v>188</v>
      </c>
      <c r="R669" s="7" t="s">
        <v>317</v>
      </c>
      <c r="S669" s="7"/>
      <c r="T669" s="7"/>
      <c r="U669" s="7" t="s">
        <v>261</v>
      </c>
      <c r="V669" s="7"/>
      <c r="W669" s="7" t="s">
        <v>306</v>
      </c>
      <c r="X669" s="7" t="s">
        <v>98</v>
      </c>
      <c r="Y669" s="7" t="s">
        <v>23</v>
      </c>
    </row>
    <row r="670" spans="1:25" hidden="1" x14ac:dyDescent="0.25">
      <c r="A670" s="256" t="s">
        <v>183</v>
      </c>
      <c r="B670" s="257">
        <v>45667</v>
      </c>
      <c r="C670" s="250" t="s">
        <v>542</v>
      </c>
      <c r="D670" s="250"/>
      <c r="E670" s="262">
        <v>200000</v>
      </c>
      <c r="F670" s="258">
        <v>0</v>
      </c>
      <c r="G670" s="276">
        <f>Tabla3[[#This Row],[INGRESOS]]-Tabla3[[#This Row],[EGRESOS]]</f>
        <v>-200000</v>
      </c>
      <c r="H670" s="137">
        <v>-5979705.7400000002</v>
      </c>
      <c r="I670" s="119">
        <v>1140</v>
      </c>
      <c r="J670" s="99">
        <f>Tabla3[[#This Row],[EGRESOS]]/Tabla3[[#This Row],[TC]]</f>
        <v>175.43859649122808</v>
      </c>
      <c r="K670" s="99">
        <f>Tabla3[[#This Row],[INGRESOS]]/Tabla3[[#This Row],[TC]]</f>
        <v>0</v>
      </c>
      <c r="L670" s="7" t="s">
        <v>303</v>
      </c>
      <c r="M670" s="7" t="s">
        <v>304</v>
      </c>
      <c r="N670" s="7" t="s">
        <v>20</v>
      </c>
      <c r="O670" s="7" t="s">
        <v>184</v>
      </c>
      <c r="P670" s="7" t="s">
        <v>194</v>
      </c>
      <c r="Q670" s="7" t="s">
        <v>196</v>
      </c>
      <c r="R670" s="7" t="s">
        <v>318</v>
      </c>
      <c r="S670" s="7" t="s">
        <v>311</v>
      </c>
      <c r="T670" s="7"/>
      <c r="U670" s="7" t="s">
        <v>277</v>
      </c>
      <c r="V670" s="7" t="s">
        <v>311</v>
      </c>
      <c r="W670" s="7" t="s">
        <v>306</v>
      </c>
      <c r="X670" s="7" t="s">
        <v>103</v>
      </c>
      <c r="Y670" s="7" t="s">
        <v>23</v>
      </c>
    </row>
    <row r="671" spans="1:25" hidden="1" x14ac:dyDescent="0.25">
      <c r="A671" s="256" t="s">
        <v>183</v>
      </c>
      <c r="B671" s="257">
        <v>45667</v>
      </c>
      <c r="C671" s="250" t="s">
        <v>637</v>
      </c>
      <c r="D671" s="250"/>
      <c r="E671" s="262">
        <v>1200</v>
      </c>
      <c r="F671" s="258">
        <v>0</v>
      </c>
      <c r="G671" s="276">
        <f>Tabla3[[#This Row],[INGRESOS]]-Tabla3[[#This Row],[EGRESOS]]</f>
        <v>-1200</v>
      </c>
      <c r="H671" s="137">
        <v>-5980905.7400000002</v>
      </c>
      <c r="I671" s="119">
        <v>1140</v>
      </c>
      <c r="J671" s="99">
        <f>Tabla3[[#This Row],[EGRESOS]]/Tabla3[[#This Row],[TC]]</f>
        <v>1.0526315789473684</v>
      </c>
      <c r="K671" s="99">
        <f>Tabla3[[#This Row],[INGRESOS]]/Tabla3[[#This Row],[TC]]</f>
        <v>0</v>
      </c>
      <c r="L671" s="7" t="s">
        <v>303</v>
      </c>
      <c r="M671" s="7" t="s">
        <v>304</v>
      </c>
      <c r="N671" s="7" t="s">
        <v>20</v>
      </c>
      <c r="O671" s="7" t="s">
        <v>184</v>
      </c>
      <c r="P671" s="7" t="s">
        <v>187</v>
      </c>
      <c r="Q671" s="7" t="s">
        <v>188</v>
      </c>
      <c r="R671" s="7" t="s">
        <v>317</v>
      </c>
      <c r="S671" s="7"/>
      <c r="T671" s="7"/>
      <c r="U671" s="7" t="s">
        <v>261</v>
      </c>
      <c r="V671" s="7"/>
      <c r="W671" s="7" t="s">
        <v>306</v>
      </c>
      <c r="X671" s="7" t="s">
        <v>98</v>
      </c>
      <c r="Y671" s="7" t="s">
        <v>23</v>
      </c>
    </row>
    <row r="672" spans="1:25" hidden="1" x14ac:dyDescent="0.25">
      <c r="A672" s="256" t="s">
        <v>183</v>
      </c>
      <c r="B672" s="257">
        <v>45671</v>
      </c>
      <c r="C672" s="250" t="s">
        <v>521</v>
      </c>
      <c r="D672" s="250" t="s">
        <v>550</v>
      </c>
      <c r="E672" s="262">
        <v>1692640.86</v>
      </c>
      <c r="F672" s="258">
        <v>0</v>
      </c>
      <c r="G672" s="276">
        <f>Tabla3[[#This Row],[INGRESOS]]-Tabla3[[#This Row],[EGRESOS]]</f>
        <v>-1692640.86</v>
      </c>
      <c r="H672" s="137">
        <v>-7673546.5999999996</v>
      </c>
      <c r="I672" s="119">
        <v>1140</v>
      </c>
      <c r="J672" s="99">
        <f>Tabla3[[#This Row],[EGRESOS]]/Tabla3[[#This Row],[TC]]</f>
        <v>1484.7726842105264</v>
      </c>
      <c r="K672" s="99">
        <f>Tabla3[[#This Row],[INGRESOS]]/Tabla3[[#This Row],[TC]]</f>
        <v>0</v>
      </c>
      <c r="L672" s="7" t="s">
        <v>303</v>
      </c>
      <c r="M672" s="7" t="s">
        <v>304</v>
      </c>
      <c r="N672" s="7" t="s">
        <v>20</v>
      </c>
      <c r="O672" s="7" t="s">
        <v>204</v>
      </c>
      <c r="P672" s="7" t="s">
        <v>205</v>
      </c>
      <c r="Q672" s="7"/>
      <c r="R672" s="7"/>
      <c r="S672" s="7" t="s">
        <v>551</v>
      </c>
      <c r="T672" s="7" t="s">
        <v>552</v>
      </c>
      <c r="U672" s="7" t="s">
        <v>257</v>
      </c>
      <c r="V672" s="7"/>
      <c r="W672" s="7" t="s">
        <v>306</v>
      </c>
      <c r="X672" s="7" t="s">
        <v>49</v>
      </c>
      <c r="Y672" s="7" t="s">
        <v>23</v>
      </c>
    </row>
    <row r="673" spans="1:25" hidden="1" x14ac:dyDescent="0.25">
      <c r="A673" s="256" t="s">
        <v>183</v>
      </c>
      <c r="B673" s="257">
        <v>45671</v>
      </c>
      <c r="C673" s="250" t="s">
        <v>553</v>
      </c>
      <c r="D673" s="250"/>
      <c r="E673" s="262">
        <v>0</v>
      </c>
      <c r="F673" s="258">
        <v>1800000</v>
      </c>
      <c r="G673" s="276">
        <f>Tabla3[[#This Row],[INGRESOS]]-Tabla3[[#This Row],[EGRESOS]]</f>
        <v>1800000</v>
      </c>
      <c r="H673" s="132">
        <v>-5873546.5999999996</v>
      </c>
      <c r="I673" s="119">
        <v>1140</v>
      </c>
      <c r="J673" s="99">
        <f>Tabla3[[#This Row],[EGRESOS]]/Tabla3[[#This Row],[TC]]</f>
        <v>0</v>
      </c>
      <c r="K673" s="99">
        <f>Tabla3[[#This Row],[INGRESOS]]/Tabla3[[#This Row],[TC]]</f>
        <v>1578.9473684210527</v>
      </c>
      <c r="L673" s="7" t="s">
        <v>303</v>
      </c>
      <c r="M673" s="7" t="s">
        <v>304</v>
      </c>
      <c r="N673" s="7" t="s">
        <v>20</v>
      </c>
      <c r="O673" s="7" t="s">
        <v>214</v>
      </c>
      <c r="P673" s="7" t="s">
        <v>216</v>
      </c>
      <c r="Q673" s="7" t="s">
        <v>217</v>
      </c>
      <c r="R673" s="7" t="s">
        <v>360</v>
      </c>
      <c r="S673" s="7"/>
      <c r="T673" s="7"/>
      <c r="U673" s="7" t="s">
        <v>262</v>
      </c>
      <c r="V673" s="7"/>
      <c r="W673" s="7" t="s">
        <v>306</v>
      </c>
      <c r="X673" s="7"/>
      <c r="Y673" s="7"/>
    </row>
    <row r="674" spans="1:25" hidden="1" x14ac:dyDescent="0.25">
      <c r="A674" s="256" t="s">
        <v>183</v>
      </c>
      <c r="B674" s="257">
        <v>45671</v>
      </c>
      <c r="C674" s="250" t="s">
        <v>507</v>
      </c>
      <c r="D674" s="250"/>
      <c r="E674" s="262">
        <v>2383.5</v>
      </c>
      <c r="F674" s="258">
        <v>0</v>
      </c>
      <c r="G674" s="276">
        <f>Tabla3[[#This Row],[INGRESOS]]-Tabla3[[#This Row],[EGRESOS]]</f>
        <v>-2383.5</v>
      </c>
      <c r="H674" s="132">
        <v>-5875930.0999999996</v>
      </c>
      <c r="I674" s="119">
        <v>1140</v>
      </c>
      <c r="J674" s="99">
        <f>Tabla3[[#This Row],[EGRESOS]]/Tabla3[[#This Row],[TC]]</f>
        <v>2.0907894736842105</v>
      </c>
      <c r="K674" s="99">
        <f>Tabla3[[#This Row],[INGRESOS]]/Tabla3[[#This Row],[TC]]</f>
        <v>0</v>
      </c>
      <c r="L674" s="7" t="s">
        <v>303</v>
      </c>
      <c r="M674" s="7" t="s">
        <v>304</v>
      </c>
      <c r="N674" s="7" t="s">
        <v>20</v>
      </c>
      <c r="O674" s="7" t="s">
        <v>184</v>
      </c>
      <c r="P674" s="7" t="s">
        <v>187</v>
      </c>
      <c r="Q674" s="7" t="s">
        <v>188</v>
      </c>
      <c r="R674" s="7" t="s">
        <v>308</v>
      </c>
      <c r="S674" s="7"/>
      <c r="T674" s="7"/>
      <c r="U674" s="7" t="s">
        <v>261</v>
      </c>
      <c r="V674" s="7"/>
      <c r="W674" s="7" t="s">
        <v>306</v>
      </c>
      <c r="X674" s="7" t="s">
        <v>98</v>
      </c>
      <c r="Y674" s="7" t="s">
        <v>23</v>
      </c>
    </row>
    <row r="675" spans="1:25" hidden="1" x14ac:dyDescent="0.25">
      <c r="A675" s="256" t="s">
        <v>183</v>
      </c>
      <c r="B675" s="257">
        <v>45671</v>
      </c>
      <c r="C675" s="250" t="s">
        <v>508</v>
      </c>
      <c r="D675" s="250"/>
      <c r="E675" s="262">
        <v>340.5</v>
      </c>
      <c r="F675" s="258">
        <v>0</v>
      </c>
      <c r="G675" s="276">
        <f>Tabla3[[#This Row],[INGRESOS]]-Tabla3[[#This Row],[EGRESOS]]</f>
        <v>-340.5</v>
      </c>
      <c r="H675" s="132">
        <v>-5876270.5999999996</v>
      </c>
      <c r="I675" s="119">
        <v>1140</v>
      </c>
      <c r="J675" s="99">
        <f>Tabla3[[#This Row],[EGRESOS]]/Tabla3[[#This Row],[TC]]</f>
        <v>0.29868421052631577</v>
      </c>
      <c r="K675" s="99">
        <f>Tabla3[[#This Row],[INGRESOS]]/Tabla3[[#This Row],[TC]]</f>
        <v>0</v>
      </c>
      <c r="L675" s="7" t="s">
        <v>303</v>
      </c>
      <c r="M675" s="7" t="s">
        <v>304</v>
      </c>
      <c r="N675" s="7" t="s">
        <v>20</v>
      </c>
      <c r="O675" s="7" t="s">
        <v>184</v>
      </c>
      <c r="P675" s="7" t="s">
        <v>187</v>
      </c>
      <c r="Q675" s="7" t="s">
        <v>188</v>
      </c>
      <c r="R675" s="7" t="s">
        <v>334</v>
      </c>
      <c r="S675" s="7"/>
      <c r="T675" s="7"/>
      <c r="U675" s="7" t="s">
        <v>261</v>
      </c>
      <c r="V675" s="7"/>
      <c r="W675" s="7" t="s">
        <v>306</v>
      </c>
      <c r="X675" s="7" t="s">
        <v>98</v>
      </c>
      <c r="Y675" s="7" t="s">
        <v>23</v>
      </c>
    </row>
    <row r="676" spans="1:25" hidden="1" x14ac:dyDescent="0.25">
      <c r="A676" s="256" t="s">
        <v>183</v>
      </c>
      <c r="B676" s="257">
        <v>45671</v>
      </c>
      <c r="C676" s="250" t="s">
        <v>536</v>
      </c>
      <c r="D676" s="250"/>
      <c r="E676" s="262">
        <v>11350</v>
      </c>
      <c r="F676" s="258">
        <v>0</v>
      </c>
      <c r="G676" s="276">
        <f>Tabla3[[#This Row],[INGRESOS]]-Tabla3[[#This Row],[EGRESOS]]</f>
        <v>-11350</v>
      </c>
      <c r="H676" s="137">
        <v>-5887620.5999999996</v>
      </c>
      <c r="I676" s="119">
        <v>1140</v>
      </c>
      <c r="J676" s="99">
        <f>Tabla3[[#This Row],[EGRESOS]]/Tabla3[[#This Row],[TC]]</f>
        <v>9.9561403508771935</v>
      </c>
      <c r="K676" s="99">
        <f>Tabla3[[#This Row],[INGRESOS]]/Tabla3[[#This Row],[TC]]</f>
        <v>0</v>
      </c>
      <c r="L676" s="7" t="s">
        <v>303</v>
      </c>
      <c r="M676" s="7" t="s">
        <v>304</v>
      </c>
      <c r="N676" s="7" t="s">
        <v>20</v>
      </c>
      <c r="O676" s="7" t="s">
        <v>184</v>
      </c>
      <c r="P676" s="7" t="s">
        <v>185</v>
      </c>
      <c r="Q676" s="7" t="s">
        <v>186</v>
      </c>
      <c r="R676" s="7"/>
      <c r="S676" s="7"/>
      <c r="T676" s="7"/>
      <c r="U676" s="7" t="s">
        <v>261</v>
      </c>
      <c r="V676" s="7"/>
      <c r="W676" s="7" t="s">
        <v>306</v>
      </c>
      <c r="X676" s="7" t="s">
        <v>98</v>
      </c>
      <c r="Y676" s="7" t="s">
        <v>23</v>
      </c>
    </row>
    <row r="677" spans="1:25" hidden="1" x14ac:dyDescent="0.25">
      <c r="A677" s="256" t="s">
        <v>183</v>
      </c>
      <c r="B677" s="257">
        <v>45671</v>
      </c>
      <c r="C677" s="250" t="s">
        <v>637</v>
      </c>
      <c r="D677" s="250"/>
      <c r="E677" s="262">
        <v>10240.290000000001</v>
      </c>
      <c r="F677" s="258">
        <v>0</v>
      </c>
      <c r="G677" s="276">
        <f>Tabla3[[#This Row],[INGRESOS]]-Tabla3[[#This Row],[EGRESOS]]</f>
        <v>-10240.290000000001</v>
      </c>
      <c r="H677" s="137">
        <v>-5897860.8899999997</v>
      </c>
      <c r="I677" s="119">
        <v>1140</v>
      </c>
      <c r="J677" s="99">
        <f>Tabla3[[#This Row],[EGRESOS]]/Tabla3[[#This Row],[TC]]</f>
        <v>8.98271052631579</v>
      </c>
      <c r="K677" s="99">
        <f>Tabla3[[#This Row],[INGRESOS]]/Tabla3[[#This Row],[TC]]</f>
        <v>0</v>
      </c>
      <c r="L677" s="7" t="s">
        <v>303</v>
      </c>
      <c r="M677" s="7" t="s">
        <v>304</v>
      </c>
      <c r="N677" s="7" t="s">
        <v>20</v>
      </c>
      <c r="O677" s="7" t="s">
        <v>184</v>
      </c>
      <c r="P677" s="7" t="s">
        <v>187</v>
      </c>
      <c r="Q677" s="7" t="s">
        <v>188</v>
      </c>
      <c r="R677" s="7" t="s">
        <v>317</v>
      </c>
      <c r="S677" s="7"/>
      <c r="T677" s="7"/>
      <c r="U677" s="7" t="s">
        <v>261</v>
      </c>
      <c r="V677" s="7"/>
      <c r="W677" s="7" t="s">
        <v>306</v>
      </c>
      <c r="X677" s="7" t="s">
        <v>98</v>
      </c>
      <c r="Y677" s="7" t="s">
        <v>23</v>
      </c>
    </row>
    <row r="678" spans="1:25" ht="15.75" hidden="1" customHeight="1" x14ac:dyDescent="0.25">
      <c r="A678" s="256" t="s">
        <v>183</v>
      </c>
      <c r="B678" s="257">
        <v>45673</v>
      </c>
      <c r="C678" s="250" t="s">
        <v>521</v>
      </c>
      <c r="D678" s="250" t="s">
        <v>554</v>
      </c>
      <c r="E678" s="262">
        <v>281666.44</v>
      </c>
      <c r="F678" s="258">
        <v>0</v>
      </c>
      <c r="G678" s="276">
        <f>Tabla3[[#This Row],[INGRESOS]]-Tabla3[[#This Row],[EGRESOS]]</f>
        <v>-281666.44</v>
      </c>
      <c r="H678" s="137">
        <v>-6179527.3300000001</v>
      </c>
      <c r="I678" s="119">
        <v>1140</v>
      </c>
      <c r="J678" s="99">
        <f>Tabla3[[#This Row],[EGRESOS]]/Tabla3[[#This Row],[TC]]</f>
        <v>247.07582456140352</v>
      </c>
      <c r="K678" s="99">
        <f>Tabla3[[#This Row],[INGRESOS]]/Tabla3[[#This Row],[TC]]</f>
        <v>0</v>
      </c>
      <c r="L678" s="7" t="s">
        <v>303</v>
      </c>
      <c r="M678" s="7" t="s">
        <v>304</v>
      </c>
      <c r="N678" s="7" t="s">
        <v>20</v>
      </c>
      <c r="O678" s="7" t="s">
        <v>204</v>
      </c>
      <c r="P678" s="7" t="s">
        <v>210</v>
      </c>
      <c r="Q678" s="7" t="s">
        <v>211</v>
      </c>
      <c r="R678" s="7"/>
      <c r="S678" s="7" t="s">
        <v>555</v>
      </c>
      <c r="T678" s="7" t="s">
        <v>556</v>
      </c>
      <c r="U678" s="7" t="s">
        <v>257</v>
      </c>
      <c r="V678" s="7"/>
      <c r="W678" s="7" t="s">
        <v>306</v>
      </c>
      <c r="X678" s="7" t="s">
        <v>54</v>
      </c>
      <c r="Y678" s="7" t="s">
        <v>23</v>
      </c>
    </row>
    <row r="679" spans="1:25" hidden="1" x14ac:dyDescent="0.25">
      <c r="A679" s="256" t="s">
        <v>183</v>
      </c>
      <c r="B679" s="257">
        <v>45673</v>
      </c>
      <c r="C679" s="250" t="s">
        <v>535</v>
      </c>
      <c r="D679" s="250"/>
      <c r="E679" s="262">
        <v>0</v>
      </c>
      <c r="F679" s="258">
        <v>500000</v>
      </c>
      <c r="G679" s="276">
        <f>Tabla3[[#This Row],[INGRESOS]]-Tabla3[[#This Row],[EGRESOS]]</f>
        <v>500000</v>
      </c>
      <c r="H679" s="137">
        <v>-5679527.3300000001</v>
      </c>
      <c r="I679" s="119">
        <v>1140</v>
      </c>
      <c r="J679" s="99">
        <f>Tabla3[[#This Row],[EGRESOS]]/Tabla3[[#This Row],[TC]]</f>
        <v>0</v>
      </c>
      <c r="K679" s="99">
        <f>Tabla3[[#This Row],[INGRESOS]]/Tabla3[[#This Row],[TC]]</f>
        <v>438.59649122807019</v>
      </c>
      <c r="L679" s="7" t="s">
        <v>303</v>
      </c>
      <c r="M679" s="7" t="s">
        <v>304</v>
      </c>
      <c r="N679" s="7" t="s">
        <v>20</v>
      </c>
      <c r="O679" s="7" t="s">
        <v>214</v>
      </c>
      <c r="P679" s="7" t="s">
        <v>216</v>
      </c>
      <c r="Q679" s="7" t="s">
        <v>217</v>
      </c>
      <c r="R679" s="7" t="s">
        <v>914</v>
      </c>
      <c r="S679" s="7"/>
      <c r="T679" s="7"/>
      <c r="U679" s="7" t="s">
        <v>262</v>
      </c>
      <c r="V679" s="7"/>
      <c r="W679" s="7" t="s">
        <v>306</v>
      </c>
      <c r="X679" s="7"/>
      <c r="Y679" s="7"/>
    </row>
    <row r="680" spans="1:25" hidden="1" x14ac:dyDescent="0.25">
      <c r="A680" s="256" t="s">
        <v>183</v>
      </c>
      <c r="B680" s="257">
        <v>45673</v>
      </c>
      <c r="C680" s="250" t="s">
        <v>542</v>
      </c>
      <c r="D680" s="250"/>
      <c r="E680" s="262">
        <v>200000</v>
      </c>
      <c r="F680" s="258">
        <v>0</v>
      </c>
      <c r="G680" s="276">
        <f>Tabla3[[#This Row],[INGRESOS]]-Tabla3[[#This Row],[EGRESOS]]</f>
        <v>-200000</v>
      </c>
      <c r="H680" s="137">
        <v>-5879527.3300000001</v>
      </c>
      <c r="I680" s="119">
        <v>1140</v>
      </c>
      <c r="J680" s="99">
        <f>Tabla3[[#This Row],[EGRESOS]]/Tabla3[[#This Row],[TC]]</f>
        <v>175.43859649122808</v>
      </c>
      <c r="K680" s="99">
        <f>Tabla3[[#This Row],[INGRESOS]]/Tabla3[[#This Row],[TC]]</f>
        <v>0</v>
      </c>
      <c r="L680" s="7" t="s">
        <v>303</v>
      </c>
      <c r="M680" s="7" t="s">
        <v>304</v>
      </c>
      <c r="N680" s="7" t="s">
        <v>20</v>
      </c>
      <c r="O680" s="7" t="s">
        <v>184</v>
      </c>
      <c r="P680" s="7" t="s">
        <v>194</v>
      </c>
      <c r="Q680" s="7" t="s">
        <v>196</v>
      </c>
      <c r="R680" s="7"/>
      <c r="S680" s="7" t="s">
        <v>311</v>
      </c>
      <c r="T680" s="7"/>
      <c r="U680" s="7" t="s">
        <v>277</v>
      </c>
      <c r="V680" s="7" t="s">
        <v>311</v>
      </c>
      <c r="W680" s="7" t="s">
        <v>306</v>
      </c>
      <c r="X680" s="7" t="s">
        <v>103</v>
      </c>
      <c r="Y680" s="7" t="s">
        <v>23</v>
      </c>
    </row>
    <row r="681" spans="1:25" hidden="1" x14ac:dyDescent="0.25">
      <c r="A681" s="256" t="s">
        <v>183</v>
      </c>
      <c r="B681" s="257">
        <v>45673</v>
      </c>
      <c r="C681" s="250" t="s">
        <v>507</v>
      </c>
      <c r="D681" s="250"/>
      <c r="E681" s="262">
        <v>2383.5</v>
      </c>
      <c r="F681" s="258">
        <v>0</v>
      </c>
      <c r="G681" s="276">
        <f>Tabla3[[#This Row],[INGRESOS]]-Tabla3[[#This Row],[EGRESOS]]</f>
        <v>-2383.5</v>
      </c>
      <c r="H681" s="137">
        <v>-5881910.8300000001</v>
      </c>
      <c r="I681" s="119">
        <v>1140</v>
      </c>
      <c r="J681" s="99">
        <f>Tabla3[[#This Row],[EGRESOS]]/Tabla3[[#This Row],[TC]]</f>
        <v>2.0907894736842105</v>
      </c>
      <c r="K681" s="99">
        <f>Tabla3[[#This Row],[INGRESOS]]/Tabla3[[#This Row],[TC]]</f>
        <v>0</v>
      </c>
      <c r="L681" s="7" t="s">
        <v>303</v>
      </c>
      <c r="M681" s="7" t="s">
        <v>304</v>
      </c>
      <c r="N681" s="7" t="s">
        <v>20</v>
      </c>
      <c r="O681" s="7" t="s">
        <v>184</v>
      </c>
      <c r="P681" s="7" t="s">
        <v>187</v>
      </c>
      <c r="Q681" s="7" t="s">
        <v>188</v>
      </c>
      <c r="R681" s="7" t="s">
        <v>308</v>
      </c>
      <c r="S681" s="7"/>
      <c r="T681" s="7"/>
      <c r="U681" s="7" t="s">
        <v>261</v>
      </c>
      <c r="V681" s="7"/>
      <c r="W681" s="7" t="s">
        <v>306</v>
      </c>
      <c r="X681" s="7" t="s">
        <v>98</v>
      </c>
      <c r="Y681" s="7" t="s">
        <v>23</v>
      </c>
    </row>
    <row r="682" spans="1:25" hidden="1" x14ac:dyDescent="0.25">
      <c r="A682" s="256" t="s">
        <v>183</v>
      </c>
      <c r="B682" s="257">
        <v>45673</v>
      </c>
      <c r="C682" s="250" t="s">
        <v>508</v>
      </c>
      <c r="D682" s="250"/>
      <c r="E682" s="262">
        <v>340.5</v>
      </c>
      <c r="F682" s="258">
        <v>0</v>
      </c>
      <c r="G682" s="276">
        <f>Tabla3[[#This Row],[INGRESOS]]-Tabla3[[#This Row],[EGRESOS]]</f>
        <v>-340.5</v>
      </c>
      <c r="H682" s="132">
        <v>-5882251.3300000001</v>
      </c>
      <c r="I682" s="119">
        <v>1140</v>
      </c>
      <c r="J682" s="99">
        <f>Tabla3[[#This Row],[EGRESOS]]/Tabla3[[#This Row],[TC]]</f>
        <v>0.29868421052631577</v>
      </c>
      <c r="K682" s="99">
        <f>Tabla3[[#This Row],[INGRESOS]]/Tabla3[[#This Row],[TC]]</f>
        <v>0</v>
      </c>
      <c r="L682" s="7" t="s">
        <v>303</v>
      </c>
      <c r="M682" s="7" t="s">
        <v>304</v>
      </c>
      <c r="N682" s="7" t="s">
        <v>20</v>
      </c>
      <c r="O682" s="7" t="s">
        <v>184</v>
      </c>
      <c r="P682" s="7" t="s">
        <v>187</v>
      </c>
      <c r="Q682" s="7" t="s">
        <v>188</v>
      </c>
      <c r="R682" s="7" t="s">
        <v>334</v>
      </c>
      <c r="S682" s="7"/>
      <c r="T682" s="7"/>
      <c r="U682" s="7" t="s">
        <v>261</v>
      </c>
      <c r="V682" s="7"/>
      <c r="W682" s="7" t="s">
        <v>306</v>
      </c>
      <c r="X682" s="7" t="s">
        <v>98</v>
      </c>
      <c r="Y682" s="7" t="s">
        <v>23</v>
      </c>
    </row>
    <row r="683" spans="1:25" hidden="1" x14ac:dyDescent="0.25">
      <c r="A683" s="256" t="s">
        <v>183</v>
      </c>
      <c r="B683" s="257">
        <v>45673</v>
      </c>
      <c r="C683" s="250" t="s">
        <v>536</v>
      </c>
      <c r="D683" s="250"/>
      <c r="E683" s="262">
        <v>11350</v>
      </c>
      <c r="F683" s="258">
        <v>0</v>
      </c>
      <c r="G683" s="276">
        <f>Tabla3[[#This Row],[INGRESOS]]-Tabla3[[#This Row],[EGRESOS]]</f>
        <v>-11350</v>
      </c>
      <c r="H683" s="132">
        <v>-5893601.3300000001</v>
      </c>
      <c r="I683" s="119">
        <v>1140</v>
      </c>
      <c r="J683" s="99">
        <f>Tabla3[[#This Row],[EGRESOS]]/Tabla3[[#This Row],[TC]]</f>
        <v>9.9561403508771935</v>
      </c>
      <c r="K683" s="99">
        <f>Tabla3[[#This Row],[INGRESOS]]/Tabla3[[#This Row],[TC]]</f>
        <v>0</v>
      </c>
      <c r="L683" s="7" t="s">
        <v>303</v>
      </c>
      <c r="M683" s="7" t="s">
        <v>304</v>
      </c>
      <c r="N683" s="7" t="s">
        <v>20</v>
      </c>
      <c r="O683" s="7" t="s">
        <v>184</v>
      </c>
      <c r="P683" s="7" t="s">
        <v>185</v>
      </c>
      <c r="Q683" s="7" t="s">
        <v>186</v>
      </c>
      <c r="R683" s="7" t="s">
        <v>557</v>
      </c>
      <c r="S683" s="7"/>
      <c r="T683" s="7"/>
      <c r="U683" s="7" t="s">
        <v>261</v>
      </c>
      <c r="V683" s="7"/>
      <c r="W683" s="7" t="s">
        <v>306</v>
      </c>
      <c r="X683" s="7" t="s">
        <v>98</v>
      </c>
      <c r="Y683" s="7" t="s">
        <v>23</v>
      </c>
    </row>
    <row r="684" spans="1:25" hidden="1" x14ac:dyDescent="0.25">
      <c r="A684" s="256" t="s">
        <v>183</v>
      </c>
      <c r="B684" s="257">
        <v>45673</v>
      </c>
      <c r="C684" s="250" t="s">
        <v>637</v>
      </c>
      <c r="D684" s="250"/>
      <c r="E684" s="262">
        <v>2974.44</v>
      </c>
      <c r="F684" s="258">
        <v>0</v>
      </c>
      <c r="G684" s="276">
        <f>Tabla3[[#This Row],[INGRESOS]]-Tabla3[[#This Row],[EGRESOS]]</f>
        <v>-2974.44</v>
      </c>
      <c r="H684" s="132">
        <v>-5896575.7699999996</v>
      </c>
      <c r="I684" s="119">
        <v>1140</v>
      </c>
      <c r="J684" s="99">
        <f>Tabla3[[#This Row],[EGRESOS]]/Tabla3[[#This Row],[TC]]</f>
        <v>2.6091578947368421</v>
      </c>
      <c r="K684" s="99">
        <f>Tabla3[[#This Row],[INGRESOS]]/Tabla3[[#This Row],[TC]]</f>
        <v>0</v>
      </c>
      <c r="L684" s="7" t="s">
        <v>303</v>
      </c>
      <c r="M684" s="7" t="s">
        <v>304</v>
      </c>
      <c r="N684" s="7" t="s">
        <v>20</v>
      </c>
      <c r="O684" s="7" t="s">
        <v>184</v>
      </c>
      <c r="P684" s="7" t="s">
        <v>187</v>
      </c>
      <c r="Q684" s="7" t="s">
        <v>188</v>
      </c>
      <c r="R684" s="7" t="s">
        <v>317</v>
      </c>
      <c r="S684" s="7"/>
      <c r="T684" s="7"/>
      <c r="U684" s="7" t="s">
        <v>261</v>
      </c>
      <c r="V684" s="7"/>
      <c r="W684" s="7" t="s">
        <v>306</v>
      </c>
      <c r="X684" s="7" t="s">
        <v>98</v>
      </c>
      <c r="Y684" s="7" t="s">
        <v>23</v>
      </c>
    </row>
    <row r="685" spans="1:25" hidden="1" x14ac:dyDescent="0.25">
      <c r="A685" s="256" t="s">
        <v>183</v>
      </c>
      <c r="B685" s="257">
        <v>45674</v>
      </c>
      <c r="C685" s="250" t="s">
        <v>521</v>
      </c>
      <c r="D685" s="250" t="s">
        <v>558</v>
      </c>
      <c r="E685" s="262">
        <v>142573.5</v>
      </c>
      <c r="F685" s="258">
        <v>0</v>
      </c>
      <c r="G685" s="276">
        <f>Tabla3[[#This Row],[INGRESOS]]-Tabla3[[#This Row],[EGRESOS]]</f>
        <v>-142573.5</v>
      </c>
      <c r="H685" s="132">
        <v>-6039149.2699999996</v>
      </c>
      <c r="I685" s="119">
        <v>1140</v>
      </c>
      <c r="J685" s="99">
        <f>Tabla3[[#This Row],[EGRESOS]]/Tabla3[[#This Row],[TC]]</f>
        <v>125.06447368421053</v>
      </c>
      <c r="K685" s="99">
        <f>Tabla3[[#This Row],[INGRESOS]]/Tabla3[[#This Row],[TC]]</f>
        <v>0</v>
      </c>
      <c r="L685" s="7" t="s">
        <v>303</v>
      </c>
      <c r="M685" s="7" t="s">
        <v>304</v>
      </c>
      <c r="N685" s="7" t="s">
        <v>20</v>
      </c>
      <c r="O685" s="7" t="s">
        <v>204</v>
      </c>
      <c r="P685" s="7" t="s">
        <v>210</v>
      </c>
      <c r="Q685" s="7" t="s">
        <v>211</v>
      </c>
      <c r="R685" s="7"/>
      <c r="S685" s="7" t="s">
        <v>559</v>
      </c>
      <c r="T685" s="7" t="s">
        <v>560</v>
      </c>
      <c r="U685" s="7" t="s">
        <v>257</v>
      </c>
      <c r="V685" s="7"/>
      <c r="W685" s="7" t="s">
        <v>392</v>
      </c>
      <c r="X685" s="7" t="s">
        <v>29</v>
      </c>
      <c r="Y685" s="7" t="s">
        <v>23</v>
      </c>
    </row>
    <row r="686" spans="1:25" hidden="1" x14ac:dyDescent="0.25">
      <c r="A686" s="256" t="s">
        <v>183</v>
      </c>
      <c r="B686" s="257">
        <v>45674</v>
      </c>
      <c r="C686" s="250" t="s">
        <v>561</v>
      </c>
      <c r="D686" s="250" t="s">
        <v>562</v>
      </c>
      <c r="E686" s="262">
        <v>500000</v>
      </c>
      <c r="F686" s="258">
        <v>0</v>
      </c>
      <c r="G686" s="276">
        <f>Tabla3[[#This Row],[INGRESOS]]-Tabla3[[#This Row],[EGRESOS]]</f>
        <v>-500000</v>
      </c>
      <c r="H686" s="132">
        <v>-6539149.2699999996</v>
      </c>
      <c r="I686" s="119">
        <v>1140</v>
      </c>
      <c r="J686" s="99">
        <f>Tabla3[[#This Row],[EGRESOS]]/Tabla3[[#This Row],[TC]]</f>
        <v>438.59649122807019</v>
      </c>
      <c r="K686" s="99">
        <f>Tabla3[[#This Row],[INGRESOS]]/Tabla3[[#This Row],[TC]]</f>
        <v>0</v>
      </c>
      <c r="L686" s="7" t="s">
        <v>303</v>
      </c>
      <c r="M686" s="7" t="s">
        <v>304</v>
      </c>
      <c r="N686" s="7" t="s">
        <v>20</v>
      </c>
      <c r="O686" s="7" t="s">
        <v>204</v>
      </c>
      <c r="P686" s="7" t="s">
        <v>205</v>
      </c>
      <c r="Q686" s="7"/>
      <c r="R686" s="7"/>
      <c r="S686" s="7" t="s">
        <v>563</v>
      </c>
      <c r="T686" s="7"/>
      <c r="U686" s="7" t="s">
        <v>259</v>
      </c>
      <c r="V686" s="7"/>
      <c r="W686" s="7" t="s">
        <v>306</v>
      </c>
      <c r="X686" s="7" t="s">
        <v>29</v>
      </c>
      <c r="Y686" s="7" t="s">
        <v>23</v>
      </c>
    </row>
    <row r="687" spans="1:25" hidden="1" x14ac:dyDescent="0.25">
      <c r="A687" s="256" t="s">
        <v>183</v>
      </c>
      <c r="B687" s="257">
        <v>45674</v>
      </c>
      <c r="C687" s="250" t="s">
        <v>535</v>
      </c>
      <c r="D687" s="250"/>
      <c r="E687" s="262">
        <v>0</v>
      </c>
      <c r="F687" s="258">
        <v>600000</v>
      </c>
      <c r="G687" s="276">
        <f>Tabla3[[#This Row],[INGRESOS]]-Tabla3[[#This Row],[EGRESOS]]</f>
        <v>600000</v>
      </c>
      <c r="H687" s="132">
        <v>-5939149.2699999996</v>
      </c>
      <c r="I687" s="119">
        <v>1140</v>
      </c>
      <c r="J687" s="99">
        <f>Tabla3[[#This Row],[EGRESOS]]/Tabla3[[#This Row],[TC]]</f>
        <v>0</v>
      </c>
      <c r="K687" s="99">
        <f>Tabla3[[#This Row],[INGRESOS]]/Tabla3[[#This Row],[TC]]</f>
        <v>526.31578947368416</v>
      </c>
      <c r="L687" s="7" t="s">
        <v>303</v>
      </c>
      <c r="M687" s="7" t="s">
        <v>304</v>
      </c>
      <c r="N687" s="7" t="s">
        <v>20</v>
      </c>
      <c r="O687" s="7" t="s">
        <v>214</v>
      </c>
      <c r="P687" s="7" t="s">
        <v>216</v>
      </c>
      <c r="Q687" s="7" t="s">
        <v>217</v>
      </c>
      <c r="R687" s="7" t="s">
        <v>914</v>
      </c>
      <c r="S687" s="7"/>
      <c r="T687" s="7"/>
      <c r="U687" s="7" t="s">
        <v>262</v>
      </c>
      <c r="V687" s="7"/>
      <c r="W687" s="7" t="s">
        <v>306</v>
      </c>
      <c r="X687" s="7"/>
      <c r="Y687" s="7"/>
    </row>
    <row r="688" spans="1:25" hidden="1" x14ac:dyDescent="0.25">
      <c r="A688" s="256" t="s">
        <v>183</v>
      </c>
      <c r="B688" s="257">
        <v>45674</v>
      </c>
      <c r="C688" s="250" t="s">
        <v>507</v>
      </c>
      <c r="D688" s="250"/>
      <c r="E688" s="262">
        <v>2383.5</v>
      </c>
      <c r="F688" s="258">
        <v>0</v>
      </c>
      <c r="G688" s="276">
        <f>Tabla3[[#This Row],[INGRESOS]]-Tabla3[[#This Row],[EGRESOS]]</f>
        <v>-2383.5</v>
      </c>
      <c r="H688" s="132">
        <v>-5941532.7699999996</v>
      </c>
      <c r="I688" s="119">
        <v>1140</v>
      </c>
      <c r="J688" s="99">
        <f>Tabla3[[#This Row],[EGRESOS]]/Tabla3[[#This Row],[TC]]</f>
        <v>2.0907894736842105</v>
      </c>
      <c r="K688" s="99">
        <f>Tabla3[[#This Row],[INGRESOS]]/Tabla3[[#This Row],[TC]]</f>
        <v>0</v>
      </c>
      <c r="L688" s="7" t="s">
        <v>303</v>
      </c>
      <c r="M688" s="7" t="s">
        <v>304</v>
      </c>
      <c r="N688" s="7" t="s">
        <v>20</v>
      </c>
      <c r="O688" s="7" t="s">
        <v>184</v>
      </c>
      <c r="P688" s="7" t="s">
        <v>187</v>
      </c>
      <c r="Q688" s="7" t="s">
        <v>188</v>
      </c>
      <c r="R688" s="7" t="s">
        <v>308</v>
      </c>
      <c r="S688" s="7"/>
      <c r="T688" s="7"/>
      <c r="U688" s="7" t="s">
        <v>261</v>
      </c>
      <c r="V688" s="7"/>
      <c r="W688" s="7" t="s">
        <v>306</v>
      </c>
      <c r="X688" s="7" t="s">
        <v>98</v>
      </c>
      <c r="Y688" s="7" t="s">
        <v>23</v>
      </c>
    </row>
    <row r="689" spans="1:25" hidden="1" x14ac:dyDescent="0.25">
      <c r="A689" s="256" t="s">
        <v>183</v>
      </c>
      <c r="B689" s="257">
        <v>45674</v>
      </c>
      <c r="C689" s="250" t="s">
        <v>508</v>
      </c>
      <c r="D689" s="250"/>
      <c r="E689" s="262">
        <v>340.5</v>
      </c>
      <c r="F689" s="258">
        <v>0</v>
      </c>
      <c r="G689" s="276">
        <f>Tabla3[[#This Row],[INGRESOS]]-Tabla3[[#This Row],[EGRESOS]]</f>
        <v>-340.5</v>
      </c>
      <c r="H689" s="132">
        <v>-5941873.2699999996</v>
      </c>
      <c r="I689" s="119">
        <v>1140</v>
      </c>
      <c r="J689" s="99">
        <f>Tabla3[[#This Row],[EGRESOS]]/Tabla3[[#This Row],[TC]]</f>
        <v>0.29868421052631577</v>
      </c>
      <c r="K689" s="99">
        <f>Tabla3[[#This Row],[INGRESOS]]/Tabla3[[#This Row],[TC]]</f>
        <v>0</v>
      </c>
      <c r="L689" s="7" t="s">
        <v>303</v>
      </c>
      <c r="M689" s="7" t="s">
        <v>304</v>
      </c>
      <c r="N689" s="7" t="s">
        <v>20</v>
      </c>
      <c r="O689" s="7" t="s">
        <v>184</v>
      </c>
      <c r="P689" s="7" t="s">
        <v>187</v>
      </c>
      <c r="Q689" s="7" t="s">
        <v>188</v>
      </c>
      <c r="R689" s="7" t="s">
        <v>334</v>
      </c>
      <c r="S689" s="7"/>
      <c r="T689" s="7"/>
      <c r="U689" s="7" t="s">
        <v>261</v>
      </c>
      <c r="V689" s="7"/>
      <c r="W689" s="7" t="s">
        <v>306</v>
      </c>
      <c r="X689" s="7" t="s">
        <v>98</v>
      </c>
      <c r="Y689" s="7" t="s">
        <v>23</v>
      </c>
    </row>
    <row r="690" spans="1:25" hidden="1" x14ac:dyDescent="0.25">
      <c r="A690" s="256" t="s">
        <v>183</v>
      </c>
      <c r="B690" s="257">
        <v>45674</v>
      </c>
      <c r="C690" s="250" t="s">
        <v>536</v>
      </c>
      <c r="D690" s="250"/>
      <c r="E690" s="262">
        <v>11350</v>
      </c>
      <c r="F690" s="258">
        <v>0</v>
      </c>
      <c r="G690" s="276">
        <f>Tabla3[[#This Row],[INGRESOS]]-Tabla3[[#This Row],[EGRESOS]]</f>
        <v>-11350</v>
      </c>
      <c r="H690" s="132">
        <v>-5953223.2699999996</v>
      </c>
      <c r="I690" s="119">
        <v>1140</v>
      </c>
      <c r="J690" s="99">
        <f>Tabla3[[#This Row],[EGRESOS]]/Tabla3[[#This Row],[TC]]</f>
        <v>9.9561403508771935</v>
      </c>
      <c r="K690" s="99">
        <f>Tabla3[[#This Row],[INGRESOS]]/Tabla3[[#This Row],[TC]]</f>
        <v>0</v>
      </c>
      <c r="L690" s="7" t="s">
        <v>303</v>
      </c>
      <c r="M690" s="7" t="s">
        <v>304</v>
      </c>
      <c r="N690" s="7" t="s">
        <v>20</v>
      </c>
      <c r="O690" s="7" t="s">
        <v>184</v>
      </c>
      <c r="P690" s="7" t="s">
        <v>185</v>
      </c>
      <c r="Q690" s="7" t="s">
        <v>186</v>
      </c>
      <c r="R690" s="7"/>
      <c r="S690" s="7"/>
      <c r="T690" s="7"/>
      <c r="U690" s="7" t="s">
        <v>261</v>
      </c>
      <c r="V690" s="7"/>
      <c r="W690" s="7" t="s">
        <v>306</v>
      </c>
      <c r="X690" s="7" t="s">
        <v>98</v>
      </c>
      <c r="Y690" s="7" t="s">
        <v>23</v>
      </c>
    </row>
    <row r="691" spans="1:25" hidden="1" x14ac:dyDescent="0.25">
      <c r="A691" s="256" t="s">
        <v>183</v>
      </c>
      <c r="B691" s="257">
        <v>45674</v>
      </c>
      <c r="C691" s="250" t="s">
        <v>637</v>
      </c>
      <c r="D691" s="250"/>
      <c r="E691" s="262">
        <v>3939.88</v>
      </c>
      <c r="F691" s="258">
        <v>0</v>
      </c>
      <c r="G691" s="276">
        <f>Tabla3[[#This Row],[INGRESOS]]-Tabla3[[#This Row],[EGRESOS]]</f>
        <v>-3939.88</v>
      </c>
      <c r="H691" s="132">
        <v>-5957163.1500000004</v>
      </c>
      <c r="I691" s="119">
        <v>1140</v>
      </c>
      <c r="J691" s="99">
        <f>Tabla3[[#This Row],[EGRESOS]]/Tabla3[[#This Row],[TC]]</f>
        <v>3.4560350877192985</v>
      </c>
      <c r="K691" s="99">
        <f>Tabla3[[#This Row],[INGRESOS]]/Tabla3[[#This Row],[TC]]</f>
        <v>0</v>
      </c>
      <c r="L691" s="7" t="s">
        <v>303</v>
      </c>
      <c r="M691" s="7" t="s">
        <v>304</v>
      </c>
      <c r="N691" s="7" t="s">
        <v>20</v>
      </c>
      <c r="O691" s="7" t="s">
        <v>184</v>
      </c>
      <c r="P691" s="7" t="s">
        <v>187</v>
      </c>
      <c r="Q691" s="7" t="s">
        <v>188</v>
      </c>
      <c r="R691" s="7" t="s">
        <v>317</v>
      </c>
      <c r="S691" s="7"/>
      <c r="T691" s="7"/>
      <c r="U691" s="7" t="s">
        <v>261</v>
      </c>
      <c r="V691" s="7"/>
      <c r="W691" s="7" t="s">
        <v>306</v>
      </c>
      <c r="X691" s="7" t="s">
        <v>98</v>
      </c>
      <c r="Y691" s="7" t="s">
        <v>23</v>
      </c>
    </row>
    <row r="692" spans="1:25" x14ac:dyDescent="0.25">
      <c r="A692" s="256" t="s">
        <v>183</v>
      </c>
      <c r="B692" s="257">
        <v>45677</v>
      </c>
      <c r="C692" s="250" t="s">
        <v>521</v>
      </c>
      <c r="D692" s="250" t="s">
        <v>564</v>
      </c>
      <c r="E692" s="262">
        <v>142300</v>
      </c>
      <c r="F692" s="258">
        <v>0</v>
      </c>
      <c r="G692" s="276">
        <f>Tabla3[[#This Row],[INGRESOS]]-Tabla3[[#This Row],[EGRESOS]]</f>
        <v>-142300</v>
      </c>
      <c r="H692" s="132">
        <v>-6099463.1500000004</v>
      </c>
      <c r="I692" s="119">
        <v>1140</v>
      </c>
      <c r="J692" s="99">
        <f>Tabla3[[#This Row],[EGRESOS]]/Tabla3[[#This Row],[TC]]</f>
        <v>124.82456140350877</v>
      </c>
      <c r="K692" s="99">
        <f>Tabla3[[#This Row],[INGRESOS]]/Tabla3[[#This Row],[TC]]</f>
        <v>0</v>
      </c>
      <c r="L692" s="7" t="s">
        <v>303</v>
      </c>
      <c r="M692" s="7" t="s">
        <v>304</v>
      </c>
      <c r="N692" s="7" t="s">
        <v>20</v>
      </c>
      <c r="O692" s="7" t="s">
        <v>742</v>
      </c>
      <c r="P692" s="7" t="s">
        <v>220</v>
      </c>
      <c r="Q692" s="7" t="s">
        <v>222</v>
      </c>
      <c r="R692" s="7" t="s">
        <v>142</v>
      </c>
      <c r="S692" s="7" t="s">
        <v>529</v>
      </c>
      <c r="T692" s="7" t="s">
        <v>565</v>
      </c>
      <c r="U692" s="7" t="s">
        <v>257</v>
      </c>
      <c r="V692" s="7"/>
      <c r="W692" s="7" t="s">
        <v>306</v>
      </c>
      <c r="X692" s="7" t="s">
        <v>29</v>
      </c>
      <c r="Y692" s="7" t="s">
        <v>23</v>
      </c>
    </row>
    <row r="693" spans="1:25" hidden="1" x14ac:dyDescent="0.25">
      <c r="A693" s="256" t="s">
        <v>183</v>
      </c>
      <c r="B693" s="257">
        <v>45677</v>
      </c>
      <c r="C693" s="250" t="s">
        <v>535</v>
      </c>
      <c r="D693" s="250"/>
      <c r="E693" s="262">
        <v>0</v>
      </c>
      <c r="F693" s="258">
        <v>200000</v>
      </c>
      <c r="G693" s="276">
        <f>Tabla3[[#This Row],[INGRESOS]]-Tabla3[[#This Row],[EGRESOS]]</f>
        <v>200000</v>
      </c>
      <c r="H693" s="132">
        <v>-5899463.1500000004</v>
      </c>
      <c r="I693" s="119">
        <v>1140</v>
      </c>
      <c r="J693" s="99">
        <f>Tabla3[[#This Row],[EGRESOS]]/Tabla3[[#This Row],[TC]]</f>
        <v>0</v>
      </c>
      <c r="K693" s="99">
        <f>Tabla3[[#This Row],[INGRESOS]]/Tabla3[[#This Row],[TC]]</f>
        <v>175.43859649122808</v>
      </c>
      <c r="L693" s="7" t="s">
        <v>303</v>
      </c>
      <c r="M693" s="7" t="s">
        <v>304</v>
      </c>
      <c r="N693" s="7" t="s">
        <v>20</v>
      </c>
      <c r="O693" s="7" t="s">
        <v>214</v>
      </c>
      <c r="P693" s="7" t="s">
        <v>216</v>
      </c>
      <c r="Q693" s="7" t="s">
        <v>217</v>
      </c>
      <c r="R693" s="7" t="s">
        <v>914</v>
      </c>
      <c r="S693" s="7"/>
      <c r="T693" s="7"/>
      <c r="U693" s="7" t="s">
        <v>262</v>
      </c>
      <c r="V693" s="7"/>
      <c r="W693" s="7" t="s">
        <v>306</v>
      </c>
      <c r="X693" s="7"/>
      <c r="Y693" s="7"/>
    </row>
    <row r="694" spans="1:25" hidden="1" x14ac:dyDescent="0.25">
      <c r="A694" s="256" t="s">
        <v>183</v>
      </c>
      <c r="B694" s="257">
        <v>45677</v>
      </c>
      <c r="C694" s="250" t="s">
        <v>535</v>
      </c>
      <c r="D694" s="250"/>
      <c r="E694" s="262">
        <v>0</v>
      </c>
      <c r="F694" s="258">
        <v>1100000</v>
      </c>
      <c r="G694" s="276">
        <f>Tabla3[[#This Row],[INGRESOS]]-Tabla3[[#This Row],[EGRESOS]]</f>
        <v>1100000</v>
      </c>
      <c r="H694" s="132">
        <v>-4799463.1500000004</v>
      </c>
      <c r="I694" s="119">
        <v>1140</v>
      </c>
      <c r="J694" s="99">
        <f>Tabla3[[#This Row],[EGRESOS]]/Tabla3[[#This Row],[TC]]</f>
        <v>0</v>
      </c>
      <c r="K694" s="99">
        <f>Tabla3[[#This Row],[INGRESOS]]/Tabla3[[#This Row],[TC]]</f>
        <v>964.91228070175441</v>
      </c>
      <c r="L694" s="7" t="s">
        <v>303</v>
      </c>
      <c r="M694" s="7" t="s">
        <v>304</v>
      </c>
      <c r="N694" s="7" t="s">
        <v>20</v>
      </c>
      <c r="O694" s="7" t="s">
        <v>214</v>
      </c>
      <c r="P694" s="7" t="s">
        <v>216</v>
      </c>
      <c r="Q694" s="7" t="s">
        <v>217</v>
      </c>
      <c r="R694" s="7" t="s">
        <v>914</v>
      </c>
      <c r="S694" s="7"/>
      <c r="T694" s="7"/>
      <c r="U694" s="7" t="s">
        <v>262</v>
      </c>
      <c r="V694" s="7"/>
      <c r="W694" s="7" t="s">
        <v>306</v>
      </c>
      <c r="X694" s="7"/>
      <c r="Y694" s="7"/>
    </row>
    <row r="695" spans="1:25" hidden="1" x14ac:dyDescent="0.25">
      <c r="A695" s="256" t="s">
        <v>183</v>
      </c>
      <c r="B695" s="257">
        <v>45677</v>
      </c>
      <c r="C695" s="250" t="s">
        <v>566</v>
      </c>
      <c r="D695" s="250"/>
      <c r="E695" s="262">
        <v>4345</v>
      </c>
      <c r="F695" s="258">
        <v>0</v>
      </c>
      <c r="G695" s="276">
        <f>Tabla3[[#This Row],[INGRESOS]]-Tabla3[[#This Row],[EGRESOS]]</f>
        <v>-4345</v>
      </c>
      <c r="H695" s="132">
        <v>-4803808.1500000004</v>
      </c>
      <c r="I695" s="119">
        <v>1140</v>
      </c>
      <c r="J695" s="99">
        <f>Tabla3[[#This Row],[EGRESOS]]/Tabla3[[#This Row],[TC]]</f>
        <v>3.8114035087719298</v>
      </c>
      <c r="K695" s="99">
        <f>Tabla3[[#This Row],[INGRESOS]]/Tabla3[[#This Row],[TC]]</f>
        <v>0</v>
      </c>
      <c r="L695" s="7" t="s">
        <v>303</v>
      </c>
      <c r="M695" s="7" t="s">
        <v>304</v>
      </c>
      <c r="N695" s="7" t="s">
        <v>20</v>
      </c>
      <c r="O695" s="7" t="s">
        <v>184</v>
      </c>
      <c r="P695" s="7" t="s">
        <v>185</v>
      </c>
      <c r="Q695" s="7" t="s">
        <v>186</v>
      </c>
      <c r="R695" s="7" t="s">
        <v>567</v>
      </c>
      <c r="S695" s="7"/>
      <c r="T695" s="7"/>
      <c r="U695" s="7" t="s">
        <v>261</v>
      </c>
      <c r="V695" s="7"/>
      <c r="W695" s="7" t="s">
        <v>306</v>
      </c>
      <c r="X695" s="7" t="s">
        <v>98</v>
      </c>
      <c r="Y695" s="7" t="s">
        <v>23</v>
      </c>
    </row>
    <row r="696" spans="1:25" hidden="1" x14ac:dyDescent="0.25">
      <c r="A696" s="256" t="s">
        <v>183</v>
      </c>
      <c r="B696" s="257">
        <v>45677</v>
      </c>
      <c r="C696" s="250" t="s">
        <v>507</v>
      </c>
      <c r="D696" s="250"/>
      <c r="E696" s="262">
        <v>2383.5</v>
      </c>
      <c r="F696" s="258">
        <v>0</v>
      </c>
      <c r="G696" s="276">
        <f>Tabla3[[#This Row],[INGRESOS]]-Tabla3[[#This Row],[EGRESOS]]</f>
        <v>-2383.5</v>
      </c>
      <c r="H696" s="132">
        <v>-4806191.6500000004</v>
      </c>
      <c r="I696" s="119">
        <v>1140</v>
      </c>
      <c r="J696" s="99">
        <f>Tabla3[[#This Row],[EGRESOS]]/Tabla3[[#This Row],[TC]]</f>
        <v>2.0907894736842105</v>
      </c>
      <c r="K696" s="99">
        <f>Tabla3[[#This Row],[INGRESOS]]/Tabla3[[#This Row],[TC]]</f>
        <v>0</v>
      </c>
      <c r="L696" s="7" t="s">
        <v>303</v>
      </c>
      <c r="M696" s="7" t="s">
        <v>304</v>
      </c>
      <c r="N696" s="7" t="s">
        <v>20</v>
      </c>
      <c r="O696" s="7" t="s">
        <v>184</v>
      </c>
      <c r="P696" s="7" t="s">
        <v>187</v>
      </c>
      <c r="Q696" s="7" t="s">
        <v>188</v>
      </c>
      <c r="R696" s="7" t="s">
        <v>308</v>
      </c>
      <c r="S696" s="7"/>
      <c r="T696" s="7"/>
      <c r="U696" s="7" t="s">
        <v>261</v>
      </c>
      <c r="V696" s="7"/>
      <c r="W696" s="7" t="s">
        <v>306</v>
      </c>
      <c r="X696" s="7" t="s">
        <v>98</v>
      </c>
      <c r="Y696" s="7" t="s">
        <v>23</v>
      </c>
    </row>
    <row r="697" spans="1:25" hidden="1" x14ac:dyDescent="0.25">
      <c r="A697" s="256" t="s">
        <v>183</v>
      </c>
      <c r="B697" s="257">
        <v>45677</v>
      </c>
      <c r="C697" s="250" t="s">
        <v>508</v>
      </c>
      <c r="D697" s="250"/>
      <c r="E697" s="262">
        <v>340.5</v>
      </c>
      <c r="F697" s="258">
        <v>0</v>
      </c>
      <c r="G697" s="276">
        <f>Tabla3[[#This Row],[INGRESOS]]-Tabla3[[#This Row],[EGRESOS]]</f>
        <v>-340.5</v>
      </c>
      <c r="H697" s="132">
        <v>-4806532.1500000004</v>
      </c>
      <c r="I697" s="119">
        <v>1140</v>
      </c>
      <c r="J697" s="99">
        <f>Tabla3[[#This Row],[EGRESOS]]/Tabla3[[#This Row],[TC]]</f>
        <v>0.29868421052631577</v>
      </c>
      <c r="K697" s="99">
        <f>Tabla3[[#This Row],[INGRESOS]]/Tabla3[[#This Row],[TC]]</f>
        <v>0</v>
      </c>
      <c r="L697" s="7" t="s">
        <v>303</v>
      </c>
      <c r="M697" s="7" t="s">
        <v>304</v>
      </c>
      <c r="N697" s="7" t="s">
        <v>20</v>
      </c>
      <c r="O697" s="7" t="s">
        <v>184</v>
      </c>
      <c r="P697" s="7" t="s">
        <v>187</v>
      </c>
      <c r="Q697" s="7" t="s">
        <v>188</v>
      </c>
      <c r="R697" s="7" t="s">
        <v>334</v>
      </c>
      <c r="S697" s="7"/>
      <c r="T697" s="7"/>
      <c r="U697" s="7" t="s">
        <v>261</v>
      </c>
      <c r="V697" s="7"/>
      <c r="W697" s="7" t="s">
        <v>306</v>
      </c>
      <c r="X697" s="7" t="s">
        <v>98</v>
      </c>
      <c r="Y697" s="7" t="s">
        <v>23</v>
      </c>
    </row>
    <row r="698" spans="1:25" hidden="1" x14ac:dyDescent="0.25">
      <c r="A698" s="256" t="s">
        <v>183</v>
      </c>
      <c r="B698" s="257">
        <v>45677</v>
      </c>
      <c r="C698" s="250" t="s">
        <v>536</v>
      </c>
      <c r="D698" s="250"/>
      <c r="E698" s="262">
        <v>11350</v>
      </c>
      <c r="F698" s="258">
        <v>0</v>
      </c>
      <c r="G698" s="276">
        <f>Tabla3[[#This Row],[INGRESOS]]-Tabla3[[#This Row],[EGRESOS]]</f>
        <v>-11350</v>
      </c>
      <c r="H698" s="132">
        <v>-4817882.1500000004</v>
      </c>
      <c r="I698" s="119">
        <v>1140</v>
      </c>
      <c r="J698" s="99">
        <f>Tabla3[[#This Row],[EGRESOS]]/Tabla3[[#This Row],[TC]]</f>
        <v>9.9561403508771935</v>
      </c>
      <c r="K698" s="99">
        <f>Tabla3[[#This Row],[INGRESOS]]/Tabla3[[#This Row],[TC]]</f>
        <v>0</v>
      </c>
      <c r="L698" s="7" t="s">
        <v>303</v>
      </c>
      <c r="M698" s="7" t="s">
        <v>304</v>
      </c>
      <c r="N698" s="7" t="s">
        <v>20</v>
      </c>
      <c r="O698" s="7" t="s">
        <v>184</v>
      </c>
      <c r="P698" s="7" t="s">
        <v>185</v>
      </c>
      <c r="Q698" s="7" t="s">
        <v>186</v>
      </c>
      <c r="R698" s="7"/>
      <c r="S698" s="7"/>
      <c r="T698" s="7"/>
      <c r="U698" s="7" t="s">
        <v>261</v>
      </c>
      <c r="V698" s="7"/>
      <c r="W698" s="7" t="s">
        <v>306</v>
      </c>
      <c r="X698" s="7" t="s">
        <v>98</v>
      </c>
      <c r="Y698" s="7" t="s">
        <v>23</v>
      </c>
    </row>
    <row r="699" spans="1:25" hidden="1" x14ac:dyDescent="0.25">
      <c r="A699" s="256" t="s">
        <v>183</v>
      </c>
      <c r="B699" s="257">
        <v>45677</v>
      </c>
      <c r="C699" s="250" t="s">
        <v>637</v>
      </c>
      <c r="D699" s="250"/>
      <c r="E699" s="262">
        <v>964.31</v>
      </c>
      <c r="F699" s="258">
        <v>0</v>
      </c>
      <c r="G699" s="276">
        <f>Tabla3[[#This Row],[INGRESOS]]-Tabla3[[#This Row],[EGRESOS]]</f>
        <v>-964.31</v>
      </c>
      <c r="H699" s="132">
        <v>-4818846.46</v>
      </c>
      <c r="I699" s="119">
        <v>1140</v>
      </c>
      <c r="J699" s="99">
        <f>Tabla3[[#This Row],[EGRESOS]]/Tabla3[[#This Row],[TC]]</f>
        <v>0.84588596491228063</v>
      </c>
      <c r="K699" s="99">
        <f>Tabla3[[#This Row],[INGRESOS]]/Tabla3[[#This Row],[TC]]</f>
        <v>0</v>
      </c>
      <c r="L699" s="7" t="s">
        <v>303</v>
      </c>
      <c r="M699" s="7" t="s">
        <v>304</v>
      </c>
      <c r="N699" s="7" t="s">
        <v>20</v>
      </c>
      <c r="O699" s="7" t="s">
        <v>184</v>
      </c>
      <c r="P699" s="7" t="s">
        <v>187</v>
      </c>
      <c r="Q699" s="7" t="s">
        <v>188</v>
      </c>
      <c r="R699" s="7" t="s">
        <v>317</v>
      </c>
      <c r="S699" s="7"/>
      <c r="T699" s="7"/>
      <c r="U699" s="7" t="s">
        <v>261</v>
      </c>
      <c r="V699" s="7"/>
      <c r="W699" s="7" t="s">
        <v>306</v>
      </c>
      <c r="X699" s="7" t="s">
        <v>98</v>
      </c>
      <c r="Y699" s="7" t="s">
        <v>23</v>
      </c>
    </row>
    <row r="700" spans="1:25" hidden="1" x14ac:dyDescent="0.25">
      <c r="A700" s="256" t="s">
        <v>183</v>
      </c>
      <c r="B700" s="257">
        <v>45678</v>
      </c>
      <c r="C700" s="250" t="s">
        <v>568</v>
      </c>
      <c r="D700" s="250"/>
      <c r="E700" s="262">
        <v>1173709</v>
      </c>
      <c r="F700" s="258">
        <v>0</v>
      </c>
      <c r="G700" s="276">
        <f>Tabla3[[#This Row],[INGRESOS]]-Tabla3[[#This Row],[EGRESOS]]</f>
        <v>-1173709</v>
      </c>
      <c r="H700" s="132">
        <v>-5992555.46</v>
      </c>
      <c r="I700" s="119">
        <v>1140</v>
      </c>
      <c r="J700" s="99">
        <f>Tabla3[[#This Row],[EGRESOS]]/Tabla3[[#This Row],[TC]]</f>
        <v>1029.5692982456139</v>
      </c>
      <c r="K700" s="99">
        <f>Tabla3[[#This Row],[INGRESOS]]/Tabla3[[#This Row],[TC]]</f>
        <v>0</v>
      </c>
      <c r="L700" s="7" t="s">
        <v>303</v>
      </c>
      <c r="M700" s="7" t="s">
        <v>304</v>
      </c>
      <c r="N700" s="7" t="s">
        <v>20</v>
      </c>
      <c r="O700" s="7" t="s">
        <v>184</v>
      </c>
      <c r="P700" s="7" t="s">
        <v>187</v>
      </c>
      <c r="Q700" s="7" t="s">
        <v>188</v>
      </c>
      <c r="R700" s="7" t="s">
        <v>569</v>
      </c>
      <c r="S700" s="7" t="s">
        <v>68</v>
      </c>
      <c r="T700" s="7"/>
      <c r="U700" s="7" t="s">
        <v>265</v>
      </c>
      <c r="V700" s="7"/>
      <c r="W700" s="7" t="s">
        <v>306</v>
      </c>
      <c r="X700" s="7" t="s">
        <v>98</v>
      </c>
      <c r="Y700" s="7" t="s">
        <v>23</v>
      </c>
    </row>
    <row r="701" spans="1:25" hidden="1" x14ac:dyDescent="0.25">
      <c r="A701" s="256" t="s">
        <v>183</v>
      </c>
      <c r="B701" s="257">
        <v>45678</v>
      </c>
      <c r="C701" s="250" t="s">
        <v>637</v>
      </c>
      <c r="D701" s="250"/>
      <c r="E701" s="262">
        <v>7042.25</v>
      </c>
      <c r="F701" s="258">
        <v>0</v>
      </c>
      <c r="G701" s="276">
        <f>Tabla3[[#This Row],[INGRESOS]]-Tabla3[[#This Row],[EGRESOS]]</f>
        <v>-7042.25</v>
      </c>
      <c r="H701" s="132">
        <v>-5999597.71</v>
      </c>
      <c r="I701" s="119">
        <v>1140</v>
      </c>
      <c r="J701" s="99">
        <f>Tabla3[[#This Row],[EGRESOS]]/Tabla3[[#This Row],[TC]]</f>
        <v>6.1774122807017546</v>
      </c>
      <c r="K701" s="99">
        <f>Tabla3[[#This Row],[INGRESOS]]/Tabla3[[#This Row],[TC]]</f>
        <v>0</v>
      </c>
      <c r="L701" s="7" t="s">
        <v>303</v>
      </c>
      <c r="M701" s="7" t="s">
        <v>304</v>
      </c>
      <c r="N701" s="7" t="s">
        <v>20</v>
      </c>
      <c r="O701" s="7" t="s">
        <v>184</v>
      </c>
      <c r="P701" s="7" t="s">
        <v>187</v>
      </c>
      <c r="Q701" s="7" t="s">
        <v>188</v>
      </c>
      <c r="R701" s="7" t="s">
        <v>317</v>
      </c>
      <c r="S701" s="7"/>
      <c r="T701" s="7"/>
      <c r="U701" s="7" t="s">
        <v>261</v>
      </c>
      <c r="V701" s="7"/>
      <c r="W701" s="7" t="s">
        <v>306</v>
      </c>
      <c r="X701" s="7" t="s">
        <v>98</v>
      </c>
      <c r="Y701" s="7" t="s">
        <v>23</v>
      </c>
    </row>
    <row r="702" spans="1:25" hidden="1" x14ac:dyDescent="0.25">
      <c r="A702" s="256" t="s">
        <v>183</v>
      </c>
      <c r="B702" s="257">
        <v>45679</v>
      </c>
      <c r="C702" s="250" t="s">
        <v>570</v>
      </c>
      <c r="D702" s="250"/>
      <c r="E702" s="262">
        <v>0</v>
      </c>
      <c r="F702" s="258">
        <v>25762930</v>
      </c>
      <c r="G702" s="276">
        <f>Tabla3[[#This Row],[INGRESOS]]-Tabla3[[#This Row],[EGRESOS]]</f>
        <v>25762930</v>
      </c>
      <c r="H702" s="132">
        <v>19763332.289999999</v>
      </c>
      <c r="I702" s="119">
        <v>1140</v>
      </c>
      <c r="J702" s="99">
        <f>Tabla3[[#This Row],[EGRESOS]]/Tabla3[[#This Row],[TC]]</f>
        <v>0</v>
      </c>
      <c r="K702" s="99">
        <f>Tabla3[[#This Row],[INGRESOS]]/Tabla3[[#This Row],[TC]]</f>
        <v>22599.061403508771</v>
      </c>
      <c r="L702" s="7" t="s">
        <v>303</v>
      </c>
      <c r="M702" s="7" t="s">
        <v>304</v>
      </c>
      <c r="N702" s="7" t="s">
        <v>20</v>
      </c>
      <c r="O702" s="7" t="s">
        <v>214</v>
      </c>
      <c r="P702" s="7" t="s">
        <v>218</v>
      </c>
      <c r="Q702" s="7" t="s">
        <v>1062</v>
      </c>
      <c r="R702" s="7" t="s">
        <v>907</v>
      </c>
      <c r="S702" s="7" t="s">
        <v>20</v>
      </c>
      <c r="T702" s="7"/>
      <c r="U702" s="7" t="s">
        <v>264</v>
      </c>
      <c r="V702" s="7"/>
      <c r="W702" s="7" t="s">
        <v>306</v>
      </c>
      <c r="X702" s="7" t="s">
        <v>23</v>
      </c>
      <c r="Y702" s="7" t="s">
        <v>90</v>
      </c>
    </row>
    <row r="703" spans="1:25" hidden="1" x14ac:dyDescent="0.25">
      <c r="A703" s="256" t="s">
        <v>183</v>
      </c>
      <c r="B703" s="257">
        <v>45680</v>
      </c>
      <c r="C703" s="250" t="s">
        <v>323</v>
      </c>
      <c r="D703" s="250"/>
      <c r="E703" s="262">
        <v>10000000</v>
      </c>
      <c r="F703" s="258">
        <v>0</v>
      </c>
      <c r="G703" s="276">
        <f>Tabla3[[#This Row],[INGRESOS]]-Tabla3[[#This Row],[EGRESOS]]</f>
        <v>-10000000</v>
      </c>
      <c r="H703" s="132">
        <v>9763332.2899999991</v>
      </c>
      <c r="I703" s="119">
        <v>1140</v>
      </c>
      <c r="J703" s="99">
        <f>Tabla3[[#This Row],[EGRESOS]]/Tabla3[[#This Row],[TC]]</f>
        <v>8771.9298245614027</v>
      </c>
      <c r="K703" s="99">
        <f>Tabla3[[#This Row],[INGRESOS]]/Tabla3[[#This Row],[TC]]</f>
        <v>0</v>
      </c>
      <c r="L703" s="7" t="s">
        <v>303</v>
      </c>
      <c r="M703" s="7" t="s">
        <v>304</v>
      </c>
      <c r="N703" s="7" t="s">
        <v>20</v>
      </c>
      <c r="O703" s="7" t="s">
        <v>214</v>
      </c>
      <c r="P703" s="7" t="s">
        <v>216</v>
      </c>
      <c r="Q703" s="7" t="s">
        <v>217</v>
      </c>
      <c r="R703" s="7" t="s">
        <v>451</v>
      </c>
      <c r="S703" s="7"/>
      <c r="T703" s="7"/>
      <c r="U703" s="7" t="s">
        <v>262</v>
      </c>
      <c r="V703" s="7"/>
      <c r="W703" s="7" t="s">
        <v>306</v>
      </c>
      <c r="X703" s="7"/>
      <c r="Y703" s="7"/>
    </row>
    <row r="704" spans="1:25" hidden="1" x14ac:dyDescent="0.25">
      <c r="A704" s="256" t="s">
        <v>183</v>
      </c>
      <c r="B704" s="257">
        <v>45680</v>
      </c>
      <c r="C704" s="250" t="s">
        <v>571</v>
      </c>
      <c r="D704" s="250"/>
      <c r="E704" s="262">
        <v>121</v>
      </c>
      <c r="F704" s="258">
        <v>0</v>
      </c>
      <c r="G704" s="276">
        <f>Tabla3[[#This Row],[INGRESOS]]-Tabla3[[#This Row],[EGRESOS]]</f>
        <v>-121</v>
      </c>
      <c r="H704" s="132">
        <v>9763211.2899999991</v>
      </c>
      <c r="I704" s="119">
        <v>1140</v>
      </c>
      <c r="J704" s="99">
        <f>Tabla3[[#This Row],[EGRESOS]]/Tabla3[[#This Row],[TC]]</f>
        <v>0.10614035087719298</v>
      </c>
      <c r="K704" s="99">
        <f>Tabla3[[#This Row],[INGRESOS]]/Tabla3[[#This Row],[TC]]</f>
        <v>0</v>
      </c>
      <c r="L704" s="7" t="s">
        <v>303</v>
      </c>
      <c r="M704" s="7" t="s">
        <v>304</v>
      </c>
      <c r="N704" s="7" t="s">
        <v>20</v>
      </c>
      <c r="O704" s="7" t="s">
        <v>184</v>
      </c>
      <c r="P704" s="7" t="s">
        <v>185</v>
      </c>
      <c r="Q704" s="7" t="s">
        <v>186</v>
      </c>
      <c r="R704" s="7"/>
      <c r="S704" s="7"/>
      <c r="T704" s="7"/>
      <c r="U704" s="7" t="s">
        <v>261</v>
      </c>
      <c r="V704" s="7"/>
      <c r="W704" s="7" t="s">
        <v>306</v>
      </c>
      <c r="X704" s="7" t="s">
        <v>98</v>
      </c>
      <c r="Y704" s="7" t="s">
        <v>23</v>
      </c>
    </row>
    <row r="705" spans="1:25" hidden="1" x14ac:dyDescent="0.25">
      <c r="A705" s="256" t="s">
        <v>183</v>
      </c>
      <c r="B705" s="257">
        <v>45680</v>
      </c>
      <c r="C705" s="250" t="s">
        <v>542</v>
      </c>
      <c r="D705" s="250"/>
      <c r="E705" s="262">
        <v>527450</v>
      </c>
      <c r="F705" s="258">
        <v>0</v>
      </c>
      <c r="G705" s="276">
        <f>Tabla3[[#This Row],[INGRESOS]]-Tabla3[[#This Row],[EGRESOS]]</f>
        <v>-527450</v>
      </c>
      <c r="H705" s="132">
        <v>9235761.2899999991</v>
      </c>
      <c r="I705" s="119">
        <v>1140</v>
      </c>
      <c r="J705" s="99">
        <f>Tabla3[[#This Row],[EGRESOS]]/Tabla3[[#This Row],[TC]]</f>
        <v>462.67543859649123</v>
      </c>
      <c r="K705" s="99">
        <f>Tabla3[[#This Row],[INGRESOS]]/Tabla3[[#This Row],[TC]]</f>
        <v>0</v>
      </c>
      <c r="L705" s="7" t="s">
        <v>303</v>
      </c>
      <c r="M705" s="7" t="s">
        <v>304</v>
      </c>
      <c r="N705" s="7" t="s">
        <v>20</v>
      </c>
      <c r="O705" s="7" t="s">
        <v>184</v>
      </c>
      <c r="P705" s="7" t="s">
        <v>191</v>
      </c>
      <c r="Q705" s="7" t="s">
        <v>193</v>
      </c>
      <c r="R705" s="7" t="s">
        <v>572</v>
      </c>
      <c r="S705" s="7" t="s">
        <v>313</v>
      </c>
      <c r="T705" s="7"/>
      <c r="U705" s="7" t="s">
        <v>266</v>
      </c>
      <c r="V705" s="7"/>
      <c r="W705" s="7" t="s">
        <v>306</v>
      </c>
      <c r="X705" s="7" t="s">
        <v>98</v>
      </c>
      <c r="Y705" s="7" t="s">
        <v>23</v>
      </c>
    </row>
    <row r="706" spans="1:25" hidden="1" x14ac:dyDescent="0.25">
      <c r="A706" s="256" t="s">
        <v>183</v>
      </c>
      <c r="B706" s="257">
        <v>45680</v>
      </c>
      <c r="C706" s="250" t="s">
        <v>571</v>
      </c>
      <c r="D706" s="250"/>
      <c r="E706" s="262">
        <v>121</v>
      </c>
      <c r="F706" s="258">
        <v>0</v>
      </c>
      <c r="G706" s="276">
        <f>Tabla3[[#This Row],[INGRESOS]]-Tabla3[[#This Row],[EGRESOS]]</f>
        <v>-121</v>
      </c>
      <c r="H706" s="132">
        <v>9235640.2899999991</v>
      </c>
      <c r="I706" s="119">
        <v>1140</v>
      </c>
      <c r="J706" s="99">
        <f>Tabla3[[#This Row],[EGRESOS]]/Tabla3[[#This Row],[TC]]</f>
        <v>0.10614035087719298</v>
      </c>
      <c r="K706" s="99">
        <f>Tabla3[[#This Row],[INGRESOS]]/Tabla3[[#This Row],[TC]]</f>
        <v>0</v>
      </c>
      <c r="L706" s="7" t="s">
        <v>303</v>
      </c>
      <c r="M706" s="7" t="s">
        <v>304</v>
      </c>
      <c r="N706" s="7" t="s">
        <v>20</v>
      </c>
      <c r="O706" s="7" t="s">
        <v>184</v>
      </c>
      <c r="P706" s="7" t="s">
        <v>185</v>
      </c>
      <c r="Q706" s="7" t="s">
        <v>186</v>
      </c>
      <c r="R706" s="7"/>
      <c r="S706" s="7"/>
      <c r="T706" s="7"/>
      <c r="U706" s="7" t="s">
        <v>261</v>
      </c>
      <c r="V706" s="7"/>
      <c r="W706" s="7" t="s">
        <v>306</v>
      </c>
      <c r="X706" s="7" t="s">
        <v>98</v>
      </c>
      <c r="Y706" s="7" t="s">
        <v>23</v>
      </c>
    </row>
    <row r="707" spans="1:25" hidden="1" x14ac:dyDescent="0.25">
      <c r="A707" s="256" t="s">
        <v>183</v>
      </c>
      <c r="B707" s="257">
        <v>45680</v>
      </c>
      <c r="C707" s="250" t="s">
        <v>323</v>
      </c>
      <c r="D707" s="250"/>
      <c r="E707" s="262">
        <v>3000000</v>
      </c>
      <c r="F707" s="258">
        <v>0</v>
      </c>
      <c r="G707" s="276">
        <f>Tabla3[[#This Row],[INGRESOS]]-Tabla3[[#This Row],[EGRESOS]]</f>
        <v>-3000000</v>
      </c>
      <c r="H707" s="132">
        <v>6235640.29</v>
      </c>
      <c r="I707" s="119">
        <v>1140</v>
      </c>
      <c r="J707" s="99">
        <f>Tabla3[[#This Row],[EGRESOS]]/Tabla3[[#This Row],[TC]]</f>
        <v>2631.5789473684213</v>
      </c>
      <c r="K707" s="99">
        <f>Tabla3[[#This Row],[INGRESOS]]/Tabla3[[#This Row],[TC]]</f>
        <v>0</v>
      </c>
      <c r="L707" s="7" t="s">
        <v>303</v>
      </c>
      <c r="M707" s="7" t="s">
        <v>304</v>
      </c>
      <c r="N707" s="7" t="s">
        <v>20</v>
      </c>
      <c r="O707" s="7" t="s">
        <v>214</v>
      </c>
      <c r="P707" s="7" t="s">
        <v>216</v>
      </c>
      <c r="Q707" s="7" t="s">
        <v>217</v>
      </c>
      <c r="R707" s="7" t="s">
        <v>466</v>
      </c>
      <c r="S707" s="7"/>
      <c r="T707" s="7"/>
      <c r="U707" s="7" t="s">
        <v>262</v>
      </c>
      <c r="V707" s="7"/>
      <c r="W707" s="7" t="s">
        <v>306</v>
      </c>
      <c r="X707" s="7"/>
      <c r="Y707" s="7"/>
    </row>
    <row r="708" spans="1:25" hidden="1" x14ac:dyDescent="0.25">
      <c r="A708" s="256" t="s">
        <v>183</v>
      </c>
      <c r="B708" s="257">
        <v>45680</v>
      </c>
      <c r="C708" s="250" t="s">
        <v>571</v>
      </c>
      <c r="D708" s="250"/>
      <c r="E708" s="262">
        <v>121</v>
      </c>
      <c r="F708" s="258">
        <v>0</v>
      </c>
      <c r="G708" s="276">
        <f>Tabla3[[#This Row],[INGRESOS]]-Tabla3[[#This Row],[EGRESOS]]</f>
        <v>-121</v>
      </c>
      <c r="H708" s="132">
        <v>6235519.29</v>
      </c>
      <c r="I708" s="119">
        <v>1140</v>
      </c>
      <c r="J708" s="99">
        <f>Tabla3[[#This Row],[EGRESOS]]/Tabla3[[#This Row],[TC]]</f>
        <v>0.10614035087719298</v>
      </c>
      <c r="K708" s="99">
        <f>Tabla3[[#This Row],[INGRESOS]]/Tabla3[[#This Row],[TC]]</f>
        <v>0</v>
      </c>
      <c r="L708" s="7" t="s">
        <v>303</v>
      </c>
      <c r="M708" s="7" t="s">
        <v>304</v>
      </c>
      <c r="N708" s="7" t="s">
        <v>20</v>
      </c>
      <c r="O708" s="7" t="s">
        <v>184</v>
      </c>
      <c r="P708" s="7" t="s">
        <v>185</v>
      </c>
      <c r="Q708" s="7" t="s">
        <v>186</v>
      </c>
      <c r="R708" s="7"/>
      <c r="S708" s="7"/>
      <c r="T708" s="7"/>
      <c r="U708" s="7" t="s">
        <v>261</v>
      </c>
      <c r="V708" s="7"/>
      <c r="W708" s="7" t="s">
        <v>306</v>
      </c>
      <c r="X708" s="7" t="s">
        <v>98</v>
      </c>
      <c r="Y708" s="7" t="s">
        <v>23</v>
      </c>
    </row>
    <row r="709" spans="1:25" hidden="1" x14ac:dyDescent="0.25">
      <c r="A709" s="256" t="s">
        <v>183</v>
      </c>
      <c r="B709" s="257">
        <v>45680</v>
      </c>
      <c r="C709" s="250" t="s">
        <v>542</v>
      </c>
      <c r="D709" s="250"/>
      <c r="E709" s="262">
        <v>6000000</v>
      </c>
      <c r="F709" s="258">
        <v>0</v>
      </c>
      <c r="G709" s="276">
        <f>Tabla3[[#This Row],[INGRESOS]]-Tabla3[[#This Row],[EGRESOS]]</f>
        <v>-6000000</v>
      </c>
      <c r="H709" s="132">
        <v>235519.29</v>
      </c>
      <c r="I709" s="119">
        <v>1140</v>
      </c>
      <c r="J709" s="99">
        <f>Tabla3[[#This Row],[EGRESOS]]/Tabla3[[#This Row],[TC]]</f>
        <v>5263.1578947368425</v>
      </c>
      <c r="K709" s="99">
        <f>Tabla3[[#This Row],[INGRESOS]]/Tabla3[[#This Row],[TC]]</f>
        <v>0</v>
      </c>
      <c r="L709" s="7" t="s">
        <v>303</v>
      </c>
      <c r="M709" s="7" t="s">
        <v>304</v>
      </c>
      <c r="N709" s="7" t="s">
        <v>20</v>
      </c>
      <c r="O709" s="7" t="s">
        <v>197</v>
      </c>
      <c r="P709" s="7" t="s">
        <v>198</v>
      </c>
      <c r="Q709" s="7" t="s">
        <v>201</v>
      </c>
      <c r="R709" s="7" t="s">
        <v>202</v>
      </c>
      <c r="S709" s="7" t="s">
        <v>573</v>
      </c>
      <c r="T709" s="7"/>
      <c r="U709" s="7" t="s">
        <v>260</v>
      </c>
      <c r="V709" s="7"/>
      <c r="W709" s="7" t="s">
        <v>306</v>
      </c>
      <c r="X709" s="7" t="s">
        <v>29</v>
      </c>
      <c r="Y709" s="7" t="s">
        <v>23</v>
      </c>
    </row>
    <row r="710" spans="1:25" hidden="1" x14ac:dyDescent="0.25">
      <c r="A710" s="256" t="s">
        <v>183</v>
      </c>
      <c r="B710" s="257">
        <v>45680</v>
      </c>
      <c r="C710" s="250" t="s">
        <v>571</v>
      </c>
      <c r="D710" s="250"/>
      <c r="E710" s="262">
        <v>121</v>
      </c>
      <c r="F710" s="258">
        <v>0</v>
      </c>
      <c r="G710" s="276">
        <f>Tabla3[[#This Row],[INGRESOS]]-Tabla3[[#This Row],[EGRESOS]]</f>
        <v>-121</v>
      </c>
      <c r="H710" s="132">
        <v>235398.29</v>
      </c>
      <c r="I710" s="119">
        <v>1140</v>
      </c>
      <c r="J710" s="99">
        <f>Tabla3[[#This Row],[EGRESOS]]/Tabla3[[#This Row],[TC]]</f>
        <v>0.10614035087719298</v>
      </c>
      <c r="K710" s="99">
        <f>Tabla3[[#This Row],[INGRESOS]]/Tabla3[[#This Row],[TC]]</f>
        <v>0</v>
      </c>
      <c r="L710" s="7" t="s">
        <v>303</v>
      </c>
      <c r="M710" s="7" t="s">
        <v>304</v>
      </c>
      <c r="N710" s="7" t="s">
        <v>20</v>
      </c>
      <c r="O710" s="7" t="s">
        <v>184</v>
      </c>
      <c r="P710" s="7" t="s">
        <v>185</v>
      </c>
      <c r="Q710" s="7" t="s">
        <v>186</v>
      </c>
      <c r="R710" s="7"/>
      <c r="S710" s="7"/>
      <c r="T710" s="7"/>
      <c r="U710" s="7" t="s">
        <v>261</v>
      </c>
      <c r="V710" s="7"/>
      <c r="W710" s="7" t="s">
        <v>306</v>
      </c>
      <c r="X710" s="7" t="s">
        <v>98</v>
      </c>
      <c r="Y710" s="7" t="s">
        <v>23</v>
      </c>
    </row>
    <row r="711" spans="1:25" hidden="1" x14ac:dyDescent="0.25">
      <c r="A711" s="256" t="s">
        <v>183</v>
      </c>
      <c r="B711" s="257">
        <v>45680</v>
      </c>
      <c r="C711" s="250" t="s">
        <v>637</v>
      </c>
      <c r="D711" s="250"/>
      <c r="E711" s="262">
        <v>39167.620000000003</v>
      </c>
      <c r="F711" s="258">
        <v>0</v>
      </c>
      <c r="G711" s="276">
        <f>Tabla3[[#This Row],[INGRESOS]]-Tabla3[[#This Row],[EGRESOS]]</f>
        <v>-39167.620000000003</v>
      </c>
      <c r="H711" s="132">
        <v>196230.67</v>
      </c>
      <c r="I711" s="119">
        <v>1140</v>
      </c>
      <c r="J711" s="99">
        <f>Tabla3[[#This Row],[EGRESOS]]/Tabla3[[#This Row],[TC]]</f>
        <v>34.357561403508775</v>
      </c>
      <c r="K711" s="99">
        <f>Tabla3[[#This Row],[INGRESOS]]/Tabla3[[#This Row],[TC]]</f>
        <v>0</v>
      </c>
      <c r="L711" s="7" t="s">
        <v>303</v>
      </c>
      <c r="M711" s="7" t="s">
        <v>304</v>
      </c>
      <c r="N711" s="7" t="s">
        <v>20</v>
      </c>
      <c r="O711" s="7" t="s">
        <v>184</v>
      </c>
      <c r="P711" s="7" t="s">
        <v>187</v>
      </c>
      <c r="Q711" s="7" t="s">
        <v>188</v>
      </c>
      <c r="R711" s="7" t="s">
        <v>317</v>
      </c>
      <c r="S711" s="7"/>
      <c r="T711" s="7"/>
      <c r="U711" s="7" t="s">
        <v>261</v>
      </c>
      <c r="V711" s="7"/>
      <c r="W711" s="7" t="s">
        <v>306</v>
      </c>
      <c r="X711" s="7" t="s">
        <v>98</v>
      </c>
      <c r="Y711" s="7" t="s">
        <v>23</v>
      </c>
    </row>
    <row r="712" spans="1:25" hidden="1" x14ac:dyDescent="0.25">
      <c r="A712" s="369" t="s">
        <v>183</v>
      </c>
      <c r="B712" s="370">
        <v>45681</v>
      </c>
      <c r="C712" s="371" t="s">
        <v>542</v>
      </c>
      <c r="D712" s="371"/>
      <c r="E712" s="262">
        <v>43551.81</v>
      </c>
      <c r="F712" s="372">
        <v>0</v>
      </c>
      <c r="G712" s="373">
        <f>Tabla3[[#This Row],[INGRESOS]]-Tabla3[[#This Row],[EGRESOS]]</f>
        <v>-43551.81</v>
      </c>
      <c r="H712" s="376">
        <v>152678.85999999999</v>
      </c>
      <c r="I712" s="372">
        <v>1140</v>
      </c>
      <c r="J712" s="375">
        <f>Tabla3[[#This Row],[EGRESOS]]/Tabla3[[#This Row],[TC]]</f>
        <v>38.203342105263154</v>
      </c>
      <c r="K712" s="375">
        <f>Tabla3[[#This Row],[INGRESOS]]/Tabla3[[#This Row],[TC]]</f>
        <v>0</v>
      </c>
      <c r="L712" s="371" t="s">
        <v>303</v>
      </c>
      <c r="M712" s="371" t="s">
        <v>304</v>
      </c>
      <c r="N712" s="371" t="s">
        <v>20</v>
      </c>
      <c r="O712" s="371" t="s">
        <v>204</v>
      </c>
      <c r="P712" s="371" t="s">
        <v>210</v>
      </c>
      <c r="Q712" s="371" t="s">
        <v>211</v>
      </c>
      <c r="R712" s="371" t="s">
        <v>447</v>
      </c>
      <c r="S712" s="371" t="s">
        <v>448</v>
      </c>
      <c r="T712" s="371" t="s">
        <v>921</v>
      </c>
      <c r="U712" s="371" t="s">
        <v>258</v>
      </c>
      <c r="V712" s="371"/>
      <c r="W712" s="371" t="s">
        <v>919</v>
      </c>
      <c r="X712" s="371" t="s">
        <v>29</v>
      </c>
      <c r="Y712" s="371" t="s">
        <v>23</v>
      </c>
    </row>
    <row r="713" spans="1:25" hidden="1" x14ac:dyDescent="0.25">
      <c r="A713" s="256" t="s">
        <v>183</v>
      </c>
      <c r="B713" s="257">
        <v>45681</v>
      </c>
      <c r="C713" s="250" t="s">
        <v>542</v>
      </c>
      <c r="D713" s="250"/>
      <c r="E713" s="262">
        <v>123000</v>
      </c>
      <c r="F713" s="258">
        <v>0</v>
      </c>
      <c r="G713" s="276">
        <f>Tabla3[[#This Row],[INGRESOS]]-Tabla3[[#This Row],[EGRESOS]]</f>
        <v>-123000</v>
      </c>
      <c r="H713" s="132">
        <v>29678.86</v>
      </c>
      <c r="I713" s="119">
        <v>1140</v>
      </c>
      <c r="J713" s="99">
        <f>Tabla3[[#This Row],[EGRESOS]]/Tabla3[[#This Row],[TC]]</f>
        <v>107.89473684210526</v>
      </c>
      <c r="K713" s="99">
        <f>Tabla3[[#This Row],[INGRESOS]]/Tabla3[[#This Row],[TC]]</f>
        <v>0</v>
      </c>
      <c r="L713" s="7" t="s">
        <v>303</v>
      </c>
      <c r="M713" s="7" t="s">
        <v>304</v>
      </c>
      <c r="N713" s="7" t="s">
        <v>20</v>
      </c>
      <c r="O713" s="7" t="s">
        <v>204</v>
      </c>
      <c r="P713" s="7" t="s">
        <v>208</v>
      </c>
      <c r="Q713" s="7"/>
      <c r="R713" s="7" t="s">
        <v>574</v>
      </c>
      <c r="S713" s="7" t="s">
        <v>575</v>
      </c>
      <c r="T713" s="7" t="s">
        <v>576</v>
      </c>
      <c r="U713" s="7" t="s">
        <v>260</v>
      </c>
      <c r="V713" s="7"/>
      <c r="W713" s="7" t="s">
        <v>306</v>
      </c>
      <c r="X713" s="7" t="s">
        <v>29</v>
      </c>
      <c r="Y713" s="7" t="s">
        <v>23</v>
      </c>
    </row>
    <row r="714" spans="1:25" hidden="1" x14ac:dyDescent="0.25">
      <c r="A714" s="256" t="s">
        <v>183</v>
      </c>
      <c r="B714" s="257">
        <v>45681</v>
      </c>
      <c r="C714" s="250" t="s">
        <v>637</v>
      </c>
      <c r="D714" s="250"/>
      <c r="E714" s="262">
        <v>999.31</v>
      </c>
      <c r="F714" s="258">
        <v>0</v>
      </c>
      <c r="G714" s="276">
        <f>Tabla3[[#This Row],[INGRESOS]]-Tabla3[[#This Row],[EGRESOS]]</f>
        <v>-999.31</v>
      </c>
      <c r="H714" s="132">
        <v>28679.55</v>
      </c>
      <c r="I714" s="119">
        <v>1140</v>
      </c>
      <c r="J714" s="99">
        <f>Tabla3[[#This Row],[EGRESOS]]/Tabla3[[#This Row],[TC]]</f>
        <v>0.87658771929824553</v>
      </c>
      <c r="K714" s="99">
        <f>Tabla3[[#This Row],[INGRESOS]]/Tabla3[[#This Row],[TC]]</f>
        <v>0</v>
      </c>
      <c r="L714" s="7" t="s">
        <v>303</v>
      </c>
      <c r="M714" s="7" t="s">
        <v>304</v>
      </c>
      <c r="N714" s="7" t="s">
        <v>20</v>
      </c>
      <c r="O714" s="7" t="s">
        <v>184</v>
      </c>
      <c r="P714" s="7" t="s">
        <v>187</v>
      </c>
      <c r="Q714" s="7" t="s">
        <v>188</v>
      </c>
      <c r="R714" s="7" t="s">
        <v>317</v>
      </c>
      <c r="S714" s="7"/>
      <c r="T714" s="7"/>
      <c r="U714" s="7" t="s">
        <v>261</v>
      </c>
      <c r="V714" s="7"/>
      <c r="W714" s="7" t="s">
        <v>306</v>
      </c>
      <c r="X714" s="7" t="s">
        <v>98</v>
      </c>
      <c r="Y714" s="7" t="s">
        <v>23</v>
      </c>
    </row>
    <row r="715" spans="1:25" hidden="1" x14ac:dyDescent="0.25">
      <c r="A715" s="256" t="s">
        <v>183</v>
      </c>
      <c r="B715" s="257">
        <v>45684</v>
      </c>
      <c r="C715" s="250" t="s">
        <v>542</v>
      </c>
      <c r="D715" s="250"/>
      <c r="E715" s="262">
        <v>10113</v>
      </c>
      <c r="F715" s="258">
        <v>0</v>
      </c>
      <c r="G715" s="276">
        <f>Tabla3[[#This Row],[INGRESOS]]-Tabla3[[#This Row],[EGRESOS]]</f>
        <v>-10113</v>
      </c>
      <c r="H715" s="132">
        <v>-581433.44999999995</v>
      </c>
      <c r="I715" s="119">
        <v>1140</v>
      </c>
      <c r="J715" s="99">
        <f>Tabla3[[#This Row],[EGRESOS]]/Tabla3[[#This Row],[TC]]</f>
        <v>8.871052631578948</v>
      </c>
      <c r="K715" s="99">
        <f>Tabla3[[#This Row],[INGRESOS]]/Tabla3[[#This Row],[TC]]</f>
        <v>0</v>
      </c>
      <c r="L715" s="7" t="s">
        <v>303</v>
      </c>
      <c r="M715" s="7" t="s">
        <v>304</v>
      </c>
      <c r="N715" s="7" t="s">
        <v>20</v>
      </c>
      <c r="O715" s="7" t="s">
        <v>184</v>
      </c>
      <c r="P715" s="7" t="s">
        <v>191</v>
      </c>
      <c r="Q715" s="7" t="s">
        <v>192</v>
      </c>
      <c r="R715" s="7" t="s">
        <v>577</v>
      </c>
      <c r="S715" s="7"/>
      <c r="T715" s="7"/>
      <c r="U715" s="7" t="s">
        <v>266</v>
      </c>
      <c r="V715" s="7"/>
      <c r="W715" s="7" t="s">
        <v>306</v>
      </c>
      <c r="X715" s="7" t="s">
        <v>29</v>
      </c>
      <c r="Y715" s="7" t="s">
        <v>23</v>
      </c>
    </row>
    <row r="716" spans="1:25" hidden="1" x14ac:dyDescent="0.25">
      <c r="A716" s="256" t="s">
        <v>183</v>
      </c>
      <c r="B716" s="257">
        <v>45684</v>
      </c>
      <c r="C716" s="250" t="s">
        <v>542</v>
      </c>
      <c r="D716" s="250"/>
      <c r="E716" s="262">
        <v>100000</v>
      </c>
      <c r="F716" s="258">
        <v>0</v>
      </c>
      <c r="G716" s="276">
        <f>Tabla3[[#This Row],[INGRESOS]]-Tabla3[[#This Row],[EGRESOS]]</f>
        <v>-100000</v>
      </c>
      <c r="H716" s="132">
        <v>-1191546.45</v>
      </c>
      <c r="I716" s="119">
        <v>1140</v>
      </c>
      <c r="J716" s="99">
        <f>Tabla3[[#This Row],[EGRESOS]]/Tabla3[[#This Row],[TC]]</f>
        <v>87.719298245614041</v>
      </c>
      <c r="K716" s="99">
        <f>Tabla3[[#This Row],[INGRESOS]]/Tabla3[[#This Row],[TC]]</f>
        <v>0</v>
      </c>
      <c r="L716" s="7" t="s">
        <v>303</v>
      </c>
      <c r="M716" s="7" t="s">
        <v>304</v>
      </c>
      <c r="N716" s="7" t="s">
        <v>20</v>
      </c>
      <c r="O716" s="7" t="s">
        <v>184</v>
      </c>
      <c r="P716" s="7" t="s">
        <v>191</v>
      </c>
      <c r="Q716" s="7" t="s">
        <v>192</v>
      </c>
      <c r="R716" s="7" t="s">
        <v>578</v>
      </c>
      <c r="S716" s="7" t="s">
        <v>342</v>
      </c>
      <c r="T716" s="7"/>
      <c r="U716" s="7" t="s">
        <v>266</v>
      </c>
      <c r="V716" s="7"/>
      <c r="W716" s="7" t="s">
        <v>306</v>
      </c>
      <c r="X716" s="7" t="s">
        <v>98</v>
      </c>
      <c r="Y716" s="7" t="s">
        <v>23</v>
      </c>
    </row>
    <row r="717" spans="1:25" hidden="1" x14ac:dyDescent="0.25">
      <c r="A717" s="256" t="s">
        <v>183</v>
      </c>
      <c r="B717" s="257">
        <v>45684</v>
      </c>
      <c r="C717" s="250" t="s">
        <v>542</v>
      </c>
      <c r="D717" s="250"/>
      <c r="E717" s="262">
        <v>500000</v>
      </c>
      <c r="F717" s="258">
        <v>0</v>
      </c>
      <c r="G717" s="276">
        <f>Tabla3[[#This Row],[INGRESOS]]-Tabla3[[#This Row],[EGRESOS]]</f>
        <v>-500000</v>
      </c>
      <c r="H717" s="132">
        <v>-581433.44999999995</v>
      </c>
      <c r="I717" s="119">
        <v>1140</v>
      </c>
      <c r="J717" s="99">
        <f>Tabla3[[#This Row],[EGRESOS]]/Tabla3[[#This Row],[TC]]</f>
        <v>438.59649122807019</v>
      </c>
      <c r="K717" s="99">
        <f>Tabla3[[#This Row],[INGRESOS]]/Tabla3[[#This Row],[TC]]</f>
        <v>0</v>
      </c>
      <c r="L717" s="7" t="s">
        <v>303</v>
      </c>
      <c r="M717" s="7" t="s">
        <v>304</v>
      </c>
      <c r="N717" s="7" t="s">
        <v>20</v>
      </c>
      <c r="O717" s="7" t="s">
        <v>197</v>
      </c>
      <c r="P717" s="7" t="s">
        <v>198</v>
      </c>
      <c r="Q717" s="7" t="s">
        <v>201</v>
      </c>
      <c r="R717" s="7" t="s">
        <v>579</v>
      </c>
      <c r="S717" s="7" t="s">
        <v>425</v>
      </c>
      <c r="T717" s="7"/>
      <c r="U717" s="7" t="s">
        <v>259</v>
      </c>
      <c r="V717" s="7"/>
      <c r="W717" s="7" t="s">
        <v>392</v>
      </c>
      <c r="X717" s="7" t="s">
        <v>98</v>
      </c>
      <c r="Y717" s="7" t="s">
        <v>23</v>
      </c>
    </row>
    <row r="718" spans="1:25" hidden="1" x14ac:dyDescent="0.25">
      <c r="A718" s="256" t="s">
        <v>183</v>
      </c>
      <c r="B718" s="257">
        <v>45684</v>
      </c>
      <c r="C718" s="250" t="s">
        <v>571</v>
      </c>
      <c r="D718" s="250"/>
      <c r="E718" s="262">
        <v>121</v>
      </c>
      <c r="F718" s="258">
        <v>0</v>
      </c>
      <c r="G718" s="276">
        <f>Tabla3[[#This Row],[INGRESOS]]-Tabla3[[#This Row],[EGRESOS]]</f>
        <v>-121</v>
      </c>
      <c r="H718" s="132">
        <v>-581554.44999999995</v>
      </c>
      <c r="I718" s="119">
        <v>1140</v>
      </c>
      <c r="J718" s="99">
        <f>Tabla3[[#This Row],[EGRESOS]]/Tabla3[[#This Row],[TC]]</f>
        <v>0.10614035087719298</v>
      </c>
      <c r="K718" s="99">
        <f>Tabla3[[#This Row],[INGRESOS]]/Tabla3[[#This Row],[TC]]</f>
        <v>0</v>
      </c>
      <c r="L718" s="7" t="s">
        <v>303</v>
      </c>
      <c r="M718" s="7" t="s">
        <v>304</v>
      </c>
      <c r="N718" s="7" t="s">
        <v>20</v>
      </c>
      <c r="O718" s="7" t="s">
        <v>184</v>
      </c>
      <c r="P718" s="7" t="s">
        <v>185</v>
      </c>
      <c r="Q718" s="7" t="s">
        <v>186</v>
      </c>
      <c r="R718" s="7"/>
      <c r="S718" s="7"/>
      <c r="T718" s="7"/>
      <c r="U718" s="7" t="s">
        <v>261</v>
      </c>
      <c r="V718" s="7"/>
      <c r="W718" s="7" t="s">
        <v>306</v>
      </c>
      <c r="X718" s="7" t="s">
        <v>98</v>
      </c>
      <c r="Y718" s="7" t="s">
        <v>23</v>
      </c>
    </row>
    <row r="719" spans="1:25" hidden="1" x14ac:dyDescent="0.25">
      <c r="A719" s="256" t="s">
        <v>183</v>
      </c>
      <c r="B719" s="257">
        <v>45684</v>
      </c>
      <c r="C719" s="250" t="s">
        <v>507</v>
      </c>
      <c r="D719" s="250"/>
      <c r="E719" s="262">
        <v>1650.6</v>
      </c>
      <c r="F719" s="258">
        <v>0</v>
      </c>
      <c r="G719" s="276">
        <f>Tabla3[[#This Row],[INGRESOS]]-Tabla3[[#This Row],[EGRESOS]]</f>
        <v>-1650.6</v>
      </c>
      <c r="H719" s="132">
        <v>-583205.05000000005</v>
      </c>
      <c r="I719" s="119">
        <v>1140</v>
      </c>
      <c r="J719" s="99">
        <f>Tabla3[[#This Row],[EGRESOS]]/Tabla3[[#This Row],[TC]]</f>
        <v>1.4478947368421051</v>
      </c>
      <c r="K719" s="99">
        <f>Tabla3[[#This Row],[INGRESOS]]/Tabla3[[#This Row],[TC]]</f>
        <v>0</v>
      </c>
      <c r="L719" s="7" t="s">
        <v>303</v>
      </c>
      <c r="M719" s="7" t="s">
        <v>304</v>
      </c>
      <c r="N719" s="7" t="s">
        <v>20</v>
      </c>
      <c r="O719" s="7" t="s">
        <v>184</v>
      </c>
      <c r="P719" s="7" t="s">
        <v>187</v>
      </c>
      <c r="Q719" s="7" t="s">
        <v>188</v>
      </c>
      <c r="R719" s="7" t="s">
        <v>308</v>
      </c>
      <c r="S719" s="7"/>
      <c r="T719" s="7"/>
      <c r="U719" s="7" t="s">
        <v>261</v>
      </c>
      <c r="V719" s="7"/>
      <c r="W719" s="7" t="s">
        <v>306</v>
      </c>
      <c r="X719" s="7" t="s">
        <v>98</v>
      </c>
      <c r="Y719" s="7" t="s">
        <v>23</v>
      </c>
    </row>
    <row r="720" spans="1:25" hidden="1" x14ac:dyDescent="0.25">
      <c r="A720" s="256" t="s">
        <v>183</v>
      </c>
      <c r="B720" s="257">
        <v>45684</v>
      </c>
      <c r="C720" s="250" t="s">
        <v>508</v>
      </c>
      <c r="D720" s="250"/>
      <c r="E720" s="262">
        <v>235.8</v>
      </c>
      <c r="F720" s="258">
        <v>0</v>
      </c>
      <c r="G720" s="276">
        <f>Tabla3[[#This Row],[INGRESOS]]-Tabla3[[#This Row],[EGRESOS]]</f>
        <v>-235.8</v>
      </c>
      <c r="H720" s="132">
        <v>-583440.85</v>
      </c>
      <c r="I720" s="119">
        <v>1140</v>
      </c>
      <c r="J720" s="99">
        <f>Tabla3[[#This Row],[EGRESOS]]/Tabla3[[#This Row],[TC]]</f>
        <v>0.20684210526315791</v>
      </c>
      <c r="K720" s="99">
        <f>Tabla3[[#This Row],[INGRESOS]]/Tabla3[[#This Row],[TC]]</f>
        <v>0</v>
      </c>
      <c r="L720" s="7" t="s">
        <v>303</v>
      </c>
      <c r="M720" s="7" t="s">
        <v>304</v>
      </c>
      <c r="N720" s="7" t="s">
        <v>20</v>
      </c>
      <c r="O720" s="7" t="s">
        <v>184</v>
      </c>
      <c r="P720" s="7" t="s">
        <v>187</v>
      </c>
      <c r="Q720" s="7" t="s">
        <v>188</v>
      </c>
      <c r="R720" s="7" t="s">
        <v>334</v>
      </c>
      <c r="S720" s="7"/>
      <c r="T720" s="7"/>
      <c r="U720" s="7" t="s">
        <v>261</v>
      </c>
      <c r="V720" s="7"/>
      <c r="W720" s="7" t="s">
        <v>306</v>
      </c>
      <c r="X720" s="7" t="s">
        <v>98</v>
      </c>
      <c r="Y720" s="7" t="s">
        <v>23</v>
      </c>
    </row>
    <row r="721" spans="1:25" hidden="1" x14ac:dyDescent="0.25">
      <c r="A721" s="256" t="s">
        <v>183</v>
      </c>
      <c r="B721" s="257">
        <v>45684</v>
      </c>
      <c r="C721" s="250" t="s">
        <v>580</v>
      </c>
      <c r="D721" s="250"/>
      <c r="E721" s="262">
        <v>7860</v>
      </c>
      <c r="F721" s="258">
        <v>0</v>
      </c>
      <c r="G721" s="276">
        <f>Tabla3[[#This Row],[INGRESOS]]-Tabla3[[#This Row],[EGRESOS]]</f>
        <v>-7860</v>
      </c>
      <c r="H721" s="132">
        <v>-591300.85</v>
      </c>
      <c r="I721" s="119">
        <v>1140</v>
      </c>
      <c r="J721" s="99">
        <f>Tabla3[[#This Row],[EGRESOS]]/Tabla3[[#This Row],[TC]]</f>
        <v>6.8947368421052628</v>
      </c>
      <c r="K721" s="99">
        <f>Tabla3[[#This Row],[INGRESOS]]/Tabla3[[#This Row],[TC]]</f>
        <v>0</v>
      </c>
      <c r="L721" s="7" t="s">
        <v>303</v>
      </c>
      <c r="M721" s="7" t="s">
        <v>304</v>
      </c>
      <c r="N721" s="7" t="s">
        <v>20</v>
      </c>
      <c r="O721" s="7" t="s">
        <v>184</v>
      </c>
      <c r="P721" s="7" t="s">
        <v>185</v>
      </c>
      <c r="Q721" s="7" t="s">
        <v>186</v>
      </c>
      <c r="R721" s="7"/>
      <c r="S721" s="7"/>
      <c r="T721" s="7"/>
      <c r="U721" s="7" t="s">
        <v>261</v>
      </c>
      <c r="V721" s="7"/>
      <c r="W721" s="7" t="s">
        <v>306</v>
      </c>
      <c r="X721" s="7" t="s">
        <v>98</v>
      </c>
      <c r="Y721" s="7" t="s">
        <v>23</v>
      </c>
    </row>
    <row r="722" spans="1:25" hidden="1" x14ac:dyDescent="0.25">
      <c r="A722" s="256" t="s">
        <v>183</v>
      </c>
      <c r="B722" s="257">
        <v>45684</v>
      </c>
      <c r="C722" s="250" t="s">
        <v>637</v>
      </c>
      <c r="D722" s="250"/>
      <c r="E722" s="262">
        <v>3719.89</v>
      </c>
      <c r="F722" s="258">
        <v>0</v>
      </c>
      <c r="G722" s="276">
        <f>Tabla3[[#This Row],[INGRESOS]]-Tabla3[[#This Row],[EGRESOS]]</f>
        <v>-3719.89</v>
      </c>
      <c r="H722" s="132">
        <v>-595020.74</v>
      </c>
      <c r="I722" s="119">
        <v>1140</v>
      </c>
      <c r="J722" s="99">
        <f>Tabla3[[#This Row],[EGRESOS]]/Tabla3[[#This Row],[TC]]</f>
        <v>3.2630614035087717</v>
      </c>
      <c r="K722" s="99">
        <f>Tabla3[[#This Row],[INGRESOS]]/Tabla3[[#This Row],[TC]]</f>
        <v>0</v>
      </c>
      <c r="L722" s="7" t="s">
        <v>303</v>
      </c>
      <c r="M722" s="7" t="s">
        <v>304</v>
      </c>
      <c r="N722" s="7" t="s">
        <v>20</v>
      </c>
      <c r="O722" s="7" t="s">
        <v>184</v>
      </c>
      <c r="P722" s="7" t="s">
        <v>187</v>
      </c>
      <c r="Q722" s="7" t="s">
        <v>188</v>
      </c>
      <c r="R722" s="7" t="s">
        <v>317</v>
      </c>
      <c r="S722" s="7"/>
      <c r="T722" s="7"/>
      <c r="U722" s="7" t="s">
        <v>261</v>
      </c>
      <c r="V722" s="7"/>
      <c r="W722" s="7" t="s">
        <v>306</v>
      </c>
      <c r="X722" s="7" t="s">
        <v>98</v>
      </c>
      <c r="Y722" s="7" t="s">
        <v>23</v>
      </c>
    </row>
    <row r="723" spans="1:25" hidden="1" x14ac:dyDescent="0.25">
      <c r="A723" s="369" t="s">
        <v>183</v>
      </c>
      <c r="B723" s="370">
        <v>45685</v>
      </c>
      <c r="C723" s="371" t="s">
        <v>542</v>
      </c>
      <c r="D723" s="371"/>
      <c r="E723" s="262">
        <v>15604.38</v>
      </c>
      <c r="F723" s="372">
        <v>0</v>
      </c>
      <c r="G723" s="373">
        <f>Tabla3[[#This Row],[INGRESOS]]-Tabla3[[#This Row],[EGRESOS]]</f>
        <v>-15604.38</v>
      </c>
      <c r="H723" s="376">
        <v>-610625.12</v>
      </c>
      <c r="I723" s="372">
        <v>1140</v>
      </c>
      <c r="J723" s="375">
        <f>Tabla3[[#This Row],[EGRESOS]]/Tabla3[[#This Row],[TC]]</f>
        <v>13.688052631578946</v>
      </c>
      <c r="K723" s="375">
        <f>Tabla3[[#This Row],[INGRESOS]]/Tabla3[[#This Row],[TC]]</f>
        <v>0</v>
      </c>
      <c r="L723" s="371" t="s">
        <v>303</v>
      </c>
      <c r="M723" s="371" t="s">
        <v>304</v>
      </c>
      <c r="N723" s="371" t="s">
        <v>20</v>
      </c>
      <c r="O723" s="371" t="s">
        <v>204</v>
      </c>
      <c r="P723" s="371" t="s">
        <v>210</v>
      </c>
      <c r="Q723" s="371" t="s">
        <v>211</v>
      </c>
      <c r="R723" s="371" t="s">
        <v>447</v>
      </c>
      <c r="S723" s="371" t="s">
        <v>448</v>
      </c>
      <c r="T723" s="371" t="s">
        <v>920</v>
      </c>
      <c r="U723" s="371" t="s">
        <v>258</v>
      </c>
      <c r="V723" s="371"/>
      <c r="W723" s="371" t="s">
        <v>919</v>
      </c>
      <c r="X723" s="371" t="s">
        <v>29</v>
      </c>
      <c r="Y723" s="371" t="s">
        <v>23</v>
      </c>
    </row>
    <row r="724" spans="1:25" hidden="1" x14ac:dyDescent="0.25">
      <c r="A724" s="256" t="s">
        <v>183</v>
      </c>
      <c r="B724" s="257">
        <v>45685</v>
      </c>
      <c r="C724" s="250" t="s">
        <v>581</v>
      </c>
      <c r="D724" s="250"/>
      <c r="E724" s="262">
        <v>143000</v>
      </c>
      <c r="F724" s="258">
        <v>0</v>
      </c>
      <c r="G724" s="276">
        <f>Tabla3[[#This Row],[INGRESOS]]-Tabla3[[#This Row],[EGRESOS]]</f>
        <v>-143000</v>
      </c>
      <c r="H724" s="132">
        <v>-753625.12</v>
      </c>
      <c r="I724" s="119">
        <v>1140</v>
      </c>
      <c r="J724" s="99">
        <f>Tabla3[[#This Row],[EGRESOS]]/Tabla3[[#This Row],[TC]]</f>
        <v>125.43859649122807</v>
      </c>
      <c r="K724" s="99">
        <f>Tabla3[[#This Row],[INGRESOS]]/Tabla3[[#This Row],[TC]]</f>
        <v>0</v>
      </c>
      <c r="L724" s="7" t="s">
        <v>303</v>
      </c>
      <c r="M724" s="7" t="s">
        <v>304</v>
      </c>
      <c r="N724" s="7" t="s">
        <v>20</v>
      </c>
      <c r="O724" s="7" t="s">
        <v>223</v>
      </c>
      <c r="P724" s="7" t="s">
        <v>224</v>
      </c>
      <c r="Q724" s="7" t="s">
        <v>582</v>
      </c>
      <c r="R724" s="7" t="s">
        <v>582</v>
      </c>
      <c r="S724" s="7" t="s">
        <v>349</v>
      </c>
      <c r="T724" s="7"/>
      <c r="U724" s="7" t="s">
        <v>261</v>
      </c>
      <c r="V724" s="7"/>
      <c r="W724" s="7" t="s">
        <v>306</v>
      </c>
      <c r="X724" s="7" t="s">
        <v>98</v>
      </c>
      <c r="Y724" s="7" t="s">
        <v>23</v>
      </c>
    </row>
    <row r="725" spans="1:25" hidden="1" x14ac:dyDescent="0.25">
      <c r="A725" s="256" t="s">
        <v>183</v>
      </c>
      <c r="B725" s="257">
        <v>45685</v>
      </c>
      <c r="C725" s="250" t="s">
        <v>637</v>
      </c>
      <c r="D725" s="250"/>
      <c r="E725" s="262">
        <v>951.63</v>
      </c>
      <c r="F725" s="258">
        <v>0</v>
      </c>
      <c r="G725" s="276">
        <f>Tabla3[[#This Row],[INGRESOS]]-Tabla3[[#This Row],[EGRESOS]]</f>
        <v>-951.63</v>
      </c>
      <c r="H725" s="132">
        <v>-754576.75</v>
      </c>
      <c r="I725" s="119">
        <v>1140</v>
      </c>
      <c r="J725" s="99">
        <f>Tabla3[[#This Row],[EGRESOS]]/Tabla3[[#This Row],[TC]]</f>
        <v>0.83476315789473687</v>
      </c>
      <c r="K725" s="99">
        <f>Tabla3[[#This Row],[INGRESOS]]/Tabla3[[#This Row],[TC]]</f>
        <v>0</v>
      </c>
      <c r="L725" s="7" t="s">
        <v>303</v>
      </c>
      <c r="M725" s="7" t="s">
        <v>304</v>
      </c>
      <c r="N725" s="7" t="s">
        <v>20</v>
      </c>
      <c r="O725" s="7" t="s">
        <v>184</v>
      </c>
      <c r="P725" s="7" t="s">
        <v>187</v>
      </c>
      <c r="Q725" s="7" t="s">
        <v>188</v>
      </c>
      <c r="R725" s="7" t="s">
        <v>317</v>
      </c>
      <c r="S725" s="7"/>
      <c r="T725" s="7"/>
      <c r="U725" s="7" t="s">
        <v>261</v>
      </c>
      <c r="V725" s="7"/>
      <c r="W725" s="7" t="s">
        <v>306</v>
      </c>
      <c r="X725" s="7" t="s">
        <v>98</v>
      </c>
      <c r="Y725" s="7" t="s">
        <v>23</v>
      </c>
    </row>
    <row r="726" spans="1:25" hidden="1" x14ac:dyDescent="0.25">
      <c r="A726" s="256" t="s">
        <v>183</v>
      </c>
      <c r="B726" s="257">
        <v>45686</v>
      </c>
      <c r="C726" s="250" t="s">
        <v>521</v>
      </c>
      <c r="D726" s="250" t="s">
        <v>583</v>
      </c>
      <c r="E726" s="262">
        <v>839778</v>
      </c>
      <c r="F726" s="258">
        <v>0</v>
      </c>
      <c r="G726" s="276">
        <f>Tabla3[[#This Row],[INGRESOS]]-Tabla3[[#This Row],[EGRESOS]]</f>
        <v>-839778</v>
      </c>
      <c r="H726" s="132">
        <v>-1594354.75</v>
      </c>
      <c r="I726" s="119">
        <v>1140</v>
      </c>
      <c r="J726" s="99">
        <f>Tabla3[[#This Row],[EGRESOS]]/Tabla3[[#This Row],[TC]]</f>
        <v>736.64736842105265</v>
      </c>
      <c r="K726" s="99">
        <f>Tabla3[[#This Row],[INGRESOS]]/Tabla3[[#This Row],[TC]]</f>
        <v>0</v>
      </c>
      <c r="L726" s="7" t="s">
        <v>303</v>
      </c>
      <c r="M726" s="7" t="s">
        <v>304</v>
      </c>
      <c r="N726" s="7" t="s">
        <v>20</v>
      </c>
      <c r="O726" s="7" t="s">
        <v>197</v>
      </c>
      <c r="P726" s="7" t="s">
        <v>198</v>
      </c>
      <c r="Q726" s="7" t="s">
        <v>201</v>
      </c>
      <c r="R726" s="7" t="s">
        <v>203</v>
      </c>
      <c r="S726" s="7" t="s">
        <v>526</v>
      </c>
      <c r="T726" s="7" t="s">
        <v>534</v>
      </c>
      <c r="U726" s="7" t="s">
        <v>257</v>
      </c>
      <c r="V726" s="7"/>
      <c r="W726" s="7" t="s">
        <v>392</v>
      </c>
      <c r="X726" s="7" t="s">
        <v>29</v>
      </c>
      <c r="Y726" s="7" t="s">
        <v>23</v>
      </c>
    </row>
    <row r="727" spans="1:25" hidden="1" x14ac:dyDescent="0.25">
      <c r="A727" s="256" t="s">
        <v>183</v>
      </c>
      <c r="B727" s="257">
        <v>45686</v>
      </c>
      <c r="C727" s="250" t="s">
        <v>637</v>
      </c>
      <c r="D727" s="250"/>
      <c r="E727" s="262">
        <v>5038.67</v>
      </c>
      <c r="F727" s="258">
        <v>0</v>
      </c>
      <c r="G727" s="276">
        <f>Tabla3[[#This Row],[INGRESOS]]-Tabla3[[#This Row],[EGRESOS]]</f>
        <v>-5038.67</v>
      </c>
      <c r="H727" s="132">
        <v>-1599393.42</v>
      </c>
      <c r="I727" s="119">
        <v>1140</v>
      </c>
      <c r="J727" s="99">
        <f>Tabla3[[#This Row],[EGRESOS]]/Tabla3[[#This Row],[TC]]</f>
        <v>4.4198859649122806</v>
      </c>
      <c r="K727" s="99">
        <f>Tabla3[[#This Row],[INGRESOS]]/Tabla3[[#This Row],[TC]]</f>
        <v>0</v>
      </c>
      <c r="L727" s="7" t="s">
        <v>303</v>
      </c>
      <c r="M727" s="7" t="s">
        <v>304</v>
      </c>
      <c r="N727" s="7" t="s">
        <v>20</v>
      </c>
      <c r="O727" s="7" t="s">
        <v>184</v>
      </c>
      <c r="P727" s="7" t="s">
        <v>187</v>
      </c>
      <c r="Q727" s="7" t="s">
        <v>188</v>
      </c>
      <c r="R727" s="7" t="s">
        <v>317</v>
      </c>
      <c r="S727" s="7"/>
      <c r="T727" s="7"/>
      <c r="U727" s="7" t="s">
        <v>261</v>
      </c>
      <c r="V727" s="7"/>
      <c r="W727" s="7" t="s">
        <v>306</v>
      </c>
      <c r="X727" s="7" t="s">
        <v>98</v>
      </c>
      <c r="Y727" s="7" t="s">
        <v>23</v>
      </c>
    </row>
    <row r="728" spans="1:25" hidden="1" x14ac:dyDescent="0.25">
      <c r="A728" s="256" t="s">
        <v>183</v>
      </c>
      <c r="B728" s="257">
        <v>45687</v>
      </c>
      <c r="C728" s="250" t="s">
        <v>537</v>
      </c>
      <c r="D728" s="250"/>
      <c r="E728" s="262">
        <v>45157.33</v>
      </c>
      <c r="F728" s="258">
        <v>0</v>
      </c>
      <c r="G728" s="276">
        <f>Tabla3[[#This Row],[INGRESOS]]-Tabla3[[#This Row],[EGRESOS]]</f>
        <v>-45157.33</v>
      </c>
      <c r="H728" s="132">
        <v>-1644550.75</v>
      </c>
      <c r="I728" s="119">
        <v>1140</v>
      </c>
      <c r="J728" s="99">
        <f>Tabla3[[#This Row],[EGRESOS]]/Tabla3[[#This Row],[TC]]</f>
        <v>39.611692982456141</v>
      </c>
      <c r="K728" s="99">
        <f>Tabla3[[#This Row],[INGRESOS]]/Tabla3[[#This Row],[TC]]</f>
        <v>0</v>
      </c>
      <c r="L728" s="7" t="s">
        <v>303</v>
      </c>
      <c r="M728" s="7" t="s">
        <v>304</v>
      </c>
      <c r="N728" s="7" t="s">
        <v>20</v>
      </c>
      <c r="O728" s="7" t="s">
        <v>214</v>
      </c>
      <c r="P728" s="7" t="s">
        <v>216</v>
      </c>
      <c r="Q728" s="7" t="s">
        <v>217</v>
      </c>
      <c r="R728" s="7" t="s">
        <v>538</v>
      </c>
      <c r="S728" s="7"/>
      <c r="T728" s="7"/>
      <c r="U728" s="7" t="s">
        <v>262</v>
      </c>
      <c r="V728" s="7"/>
      <c r="W728" s="7" t="s">
        <v>306</v>
      </c>
      <c r="X728" s="7"/>
      <c r="Y728" s="7"/>
    </row>
    <row r="729" spans="1:25" hidden="1" x14ac:dyDescent="0.25">
      <c r="A729" s="256" t="s">
        <v>225</v>
      </c>
      <c r="B729" s="257">
        <v>45691</v>
      </c>
      <c r="C729" s="250" t="s">
        <v>507</v>
      </c>
      <c r="D729" s="250"/>
      <c r="E729" s="262">
        <v>16628.12</v>
      </c>
      <c r="F729" s="258">
        <v>0</v>
      </c>
      <c r="G729" s="276">
        <f>Tabla3[[#This Row],[INGRESOS]]-Tabla3[[#This Row],[EGRESOS]]</f>
        <v>-16628.12</v>
      </c>
      <c r="H729" s="132">
        <v>-1661178.87</v>
      </c>
      <c r="I729" s="119">
        <v>1140</v>
      </c>
      <c r="J729" s="99">
        <f>Tabla3[[#This Row],[EGRESOS]]/Tabla3[[#This Row],[TC]]</f>
        <v>14.586070175438596</v>
      </c>
      <c r="K729" s="99">
        <f>Tabla3[[#This Row],[INGRESOS]]/Tabla3[[#This Row],[TC]]</f>
        <v>0</v>
      </c>
      <c r="L729" s="7" t="s">
        <v>303</v>
      </c>
      <c r="M729" s="7" t="s">
        <v>304</v>
      </c>
      <c r="N729" s="7" t="s">
        <v>20</v>
      </c>
      <c r="O729" s="7" t="s">
        <v>184</v>
      </c>
      <c r="P729" s="7" t="s">
        <v>187</v>
      </c>
      <c r="Q729" s="7" t="s">
        <v>188</v>
      </c>
      <c r="R729" s="7" t="s">
        <v>308</v>
      </c>
      <c r="S729" s="7"/>
      <c r="T729" s="7"/>
      <c r="U729" s="7" t="s">
        <v>261</v>
      </c>
      <c r="V729" s="7"/>
      <c r="W729" s="7" t="s">
        <v>306</v>
      </c>
      <c r="X729" s="7" t="s">
        <v>98</v>
      </c>
      <c r="Y729" s="7" t="s">
        <v>23</v>
      </c>
    </row>
    <row r="730" spans="1:25" hidden="1" x14ac:dyDescent="0.25">
      <c r="A730" s="256" t="s">
        <v>225</v>
      </c>
      <c r="B730" s="257">
        <v>45691</v>
      </c>
      <c r="C730" s="250" t="s">
        <v>508</v>
      </c>
      <c r="D730" s="250"/>
      <c r="E730" s="262">
        <v>2375.4499999999998</v>
      </c>
      <c r="F730" s="258">
        <v>0</v>
      </c>
      <c r="G730" s="276">
        <f>Tabla3[[#This Row],[INGRESOS]]-Tabla3[[#This Row],[EGRESOS]]</f>
        <v>-2375.4499999999998</v>
      </c>
      <c r="H730" s="132">
        <v>-1663554.32</v>
      </c>
      <c r="I730" s="119">
        <v>1140</v>
      </c>
      <c r="J730" s="99">
        <f>Tabla3[[#This Row],[EGRESOS]]/Tabla3[[#This Row],[TC]]</f>
        <v>2.0837280701754386</v>
      </c>
      <c r="K730" s="99">
        <f>Tabla3[[#This Row],[INGRESOS]]/Tabla3[[#This Row],[TC]]</f>
        <v>0</v>
      </c>
      <c r="L730" s="7" t="s">
        <v>303</v>
      </c>
      <c r="M730" s="7" t="s">
        <v>304</v>
      </c>
      <c r="N730" s="7" t="s">
        <v>20</v>
      </c>
      <c r="O730" s="7" t="s">
        <v>184</v>
      </c>
      <c r="P730" s="7" t="s">
        <v>187</v>
      </c>
      <c r="Q730" s="7" t="s">
        <v>188</v>
      </c>
      <c r="R730" s="7" t="s">
        <v>334</v>
      </c>
      <c r="S730" s="7"/>
      <c r="T730" s="7"/>
      <c r="U730" s="7" t="s">
        <v>261</v>
      </c>
      <c r="V730" s="7"/>
      <c r="W730" s="7" t="s">
        <v>306</v>
      </c>
      <c r="X730" s="7" t="s">
        <v>98</v>
      </c>
      <c r="Y730" s="7" t="s">
        <v>23</v>
      </c>
    </row>
    <row r="731" spans="1:25" hidden="1" x14ac:dyDescent="0.25">
      <c r="A731" s="256" t="s">
        <v>225</v>
      </c>
      <c r="B731" s="257">
        <v>45691</v>
      </c>
      <c r="C731" s="250" t="s">
        <v>518</v>
      </c>
      <c r="D731" s="250"/>
      <c r="E731" s="262">
        <v>158363.03</v>
      </c>
      <c r="F731" s="258">
        <v>0</v>
      </c>
      <c r="G731" s="276">
        <f>Tabla3[[#This Row],[INGRESOS]]-Tabla3[[#This Row],[EGRESOS]]</f>
        <v>-158363.03</v>
      </c>
      <c r="H731" s="132">
        <v>-1821917.35</v>
      </c>
      <c r="I731" s="119">
        <v>1140</v>
      </c>
      <c r="J731" s="99">
        <f>Tabla3[[#This Row],[EGRESOS]]/Tabla3[[#This Row],[TC]]</f>
        <v>138.91493859649123</v>
      </c>
      <c r="K731" s="99">
        <f>Tabla3[[#This Row],[INGRESOS]]/Tabla3[[#This Row],[TC]]</f>
        <v>0</v>
      </c>
      <c r="L731" s="7" t="s">
        <v>303</v>
      </c>
      <c r="M731" s="7" t="s">
        <v>304</v>
      </c>
      <c r="N731" s="7" t="s">
        <v>20</v>
      </c>
      <c r="O731" s="7" t="s">
        <v>184</v>
      </c>
      <c r="P731" s="7" t="s">
        <v>189</v>
      </c>
      <c r="Q731" s="7" t="s">
        <v>190</v>
      </c>
      <c r="R731" s="7" t="s">
        <v>519</v>
      </c>
      <c r="S731" s="7"/>
      <c r="T731" s="7"/>
      <c r="U731" s="7" t="s">
        <v>261</v>
      </c>
      <c r="V731" s="7"/>
      <c r="W731" s="7" t="s">
        <v>306</v>
      </c>
      <c r="X731" s="7" t="s">
        <v>98</v>
      </c>
      <c r="Y731" s="7" t="s">
        <v>23</v>
      </c>
    </row>
    <row r="732" spans="1:25" hidden="1" x14ac:dyDescent="0.25">
      <c r="A732" s="256" t="s">
        <v>225</v>
      </c>
      <c r="B732" s="257">
        <v>45691</v>
      </c>
      <c r="C732" s="250" t="s">
        <v>521</v>
      </c>
      <c r="D732" s="250" t="s">
        <v>584</v>
      </c>
      <c r="E732" s="262">
        <v>572221</v>
      </c>
      <c r="F732" s="258">
        <v>0</v>
      </c>
      <c r="G732" s="276">
        <f>Tabla3[[#This Row],[INGRESOS]]-Tabla3[[#This Row],[EGRESOS]]</f>
        <v>-572221</v>
      </c>
      <c r="H732" s="132">
        <v>-2394138.35</v>
      </c>
      <c r="I732" s="119">
        <v>1140</v>
      </c>
      <c r="J732" s="99">
        <f>Tabla3[[#This Row],[EGRESOS]]/Tabla3[[#This Row],[TC]]</f>
        <v>501.9482456140351</v>
      </c>
      <c r="K732" s="99">
        <f>Tabla3[[#This Row],[INGRESOS]]/Tabla3[[#This Row],[TC]]</f>
        <v>0</v>
      </c>
      <c r="L732" s="7" t="s">
        <v>303</v>
      </c>
      <c r="M732" s="7" t="s">
        <v>304</v>
      </c>
      <c r="N732" s="7" t="s">
        <v>20</v>
      </c>
      <c r="O732" s="7" t="s">
        <v>204</v>
      </c>
      <c r="P732" s="7" t="s">
        <v>205</v>
      </c>
      <c r="Q732" s="7" t="s">
        <v>585</v>
      </c>
      <c r="S732" s="7" t="s">
        <v>523</v>
      </c>
      <c r="T732" s="7" t="s">
        <v>586</v>
      </c>
      <c r="U732" s="7" t="s">
        <v>258</v>
      </c>
      <c r="V732" s="7"/>
      <c r="W732" s="7" t="s">
        <v>306</v>
      </c>
      <c r="X732" s="7" t="s">
        <v>29</v>
      </c>
      <c r="Y732" s="7" t="s">
        <v>23</v>
      </c>
    </row>
    <row r="733" spans="1:25" x14ac:dyDescent="0.25">
      <c r="A733" s="256" t="s">
        <v>225</v>
      </c>
      <c r="B733" s="257">
        <v>45691</v>
      </c>
      <c r="C733" s="250" t="s">
        <v>561</v>
      </c>
      <c r="D733" s="250" t="s">
        <v>587</v>
      </c>
      <c r="E733" s="262">
        <v>1352462</v>
      </c>
      <c r="F733" s="258">
        <v>0</v>
      </c>
      <c r="G733" s="276">
        <f>Tabla3[[#This Row],[INGRESOS]]-Tabla3[[#This Row],[EGRESOS]]</f>
        <v>-1352462</v>
      </c>
      <c r="H733" s="132">
        <v>-3746600.35</v>
      </c>
      <c r="I733" s="119">
        <v>1140</v>
      </c>
      <c r="J733" s="99">
        <f>Tabla3[[#This Row],[EGRESOS]]/Tabla3[[#This Row],[TC]]</f>
        <v>1186.3701754385966</v>
      </c>
      <c r="K733" s="99">
        <f>Tabla3[[#This Row],[INGRESOS]]/Tabla3[[#This Row],[TC]]</f>
        <v>0</v>
      </c>
      <c r="L733" s="7" t="s">
        <v>303</v>
      </c>
      <c r="M733" s="7" t="s">
        <v>304</v>
      </c>
      <c r="N733" s="7" t="s">
        <v>20</v>
      </c>
      <c r="O733" s="7" t="s">
        <v>742</v>
      </c>
      <c r="P733" s="7" t="s">
        <v>220</v>
      </c>
      <c r="Q733" s="7" t="s">
        <v>231</v>
      </c>
      <c r="R733" s="7" t="s">
        <v>142</v>
      </c>
      <c r="S733" s="7" t="s">
        <v>588</v>
      </c>
      <c r="T733" s="7" t="s">
        <v>589</v>
      </c>
      <c r="U733" s="7" t="s">
        <v>258</v>
      </c>
      <c r="V733" s="7"/>
      <c r="W733" s="7" t="s">
        <v>306</v>
      </c>
      <c r="X733" s="7" t="s">
        <v>29</v>
      </c>
      <c r="Y733" s="7" t="s">
        <v>23</v>
      </c>
    </row>
    <row r="734" spans="1:25" hidden="1" x14ac:dyDescent="0.25">
      <c r="A734" s="256" t="s">
        <v>225</v>
      </c>
      <c r="B734" s="257">
        <v>45691</v>
      </c>
      <c r="C734" s="250" t="s">
        <v>590</v>
      </c>
      <c r="D734" s="250"/>
      <c r="E734" s="262">
        <v>4230.3999999999996</v>
      </c>
      <c r="F734" s="258">
        <v>0</v>
      </c>
      <c r="G734" s="276">
        <f>Tabla3[[#This Row],[INGRESOS]]-Tabla3[[#This Row],[EGRESOS]]</f>
        <v>-4230.3999999999996</v>
      </c>
      <c r="H734" s="132">
        <v>-3750830.75</v>
      </c>
      <c r="I734" s="119">
        <v>1140</v>
      </c>
      <c r="J734" s="99">
        <f>Tabla3[[#This Row],[EGRESOS]]/Tabla3[[#This Row],[TC]]</f>
        <v>3.7108771929824558</v>
      </c>
      <c r="K734" s="99">
        <f>Tabla3[[#This Row],[INGRESOS]]/Tabla3[[#This Row],[TC]]</f>
        <v>0</v>
      </c>
      <c r="L734" s="7" t="s">
        <v>303</v>
      </c>
      <c r="M734" s="7" t="s">
        <v>304</v>
      </c>
      <c r="N734" s="7" t="s">
        <v>20</v>
      </c>
      <c r="O734" s="7" t="s">
        <v>184</v>
      </c>
      <c r="P734" s="7" t="s">
        <v>187</v>
      </c>
      <c r="Q734" s="7" t="s">
        <v>188</v>
      </c>
      <c r="R734" s="7" t="s">
        <v>339</v>
      </c>
      <c r="S734" s="7"/>
      <c r="T734" s="7"/>
      <c r="U734" s="7" t="s">
        <v>261</v>
      </c>
      <c r="V734" s="7"/>
      <c r="W734" s="7" t="s">
        <v>306</v>
      </c>
      <c r="X734" s="7" t="s">
        <v>98</v>
      </c>
      <c r="Y734" s="7" t="s">
        <v>23</v>
      </c>
    </row>
    <row r="735" spans="1:25" hidden="1" x14ac:dyDescent="0.25">
      <c r="A735" s="256" t="s">
        <v>225</v>
      </c>
      <c r="B735" s="257">
        <v>45691</v>
      </c>
      <c r="C735" s="250" t="s">
        <v>637</v>
      </c>
      <c r="D735" s="250"/>
      <c r="E735" s="262">
        <v>12637.68</v>
      </c>
      <c r="F735" s="258">
        <v>0</v>
      </c>
      <c r="G735" s="276">
        <f>Tabla3[[#This Row],[INGRESOS]]-Tabla3[[#This Row],[EGRESOS]]</f>
        <v>-12637.68</v>
      </c>
      <c r="H735" s="132">
        <v>-3763468.43</v>
      </c>
      <c r="I735" s="119">
        <v>1140</v>
      </c>
      <c r="J735" s="99">
        <f>Tabla3[[#This Row],[EGRESOS]]/Tabla3[[#This Row],[TC]]</f>
        <v>11.085684210526317</v>
      </c>
      <c r="K735" s="99">
        <f>Tabla3[[#This Row],[INGRESOS]]/Tabla3[[#This Row],[TC]]</f>
        <v>0</v>
      </c>
      <c r="L735" s="7" t="s">
        <v>303</v>
      </c>
      <c r="M735" s="7" t="s">
        <v>304</v>
      </c>
      <c r="N735" s="7" t="s">
        <v>20</v>
      </c>
      <c r="O735" s="7" t="s">
        <v>184</v>
      </c>
      <c r="P735" s="7" t="s">
        <v>187</v>
      </c>
      <c r="Q735" s="7" t="s">
        <v>188</v>
      </c>
      <c r="R735" s="7" t="s">
        <v>317</v>
      </c>
      <c r="S735" s="7"/>
      <c r="T735" s="7"/>
      <c r="U735" s="7" t="s">
        <v>261</v>
      </c>
      <c r="V735" s="7"/>
      <c r="W735" s="7" t="s">
        <v>306</v>
      </c>
      <c r="X735" s="7" t="s">
        <v>98</v>
      </c>
      <c r="Y735" s="7" t="s">
        <v>23</v>
      </c>
    </row>
    <row r="736" spans="1:25" hidden="1" x14ac:dyDescent="0.25">
      <c r="A736" s="256" t="s">
        <v>225</v>
      </c>
      <c r="B736" s="257">
        <v>45692</v>
      </c>
      <c r="C736" s="250" t="s">
        <v>521</v>
      </c>
      <c r="D736" s="250" t="s">
        <v>591</v>
      </c>
      <c r="E736" s="262">
        <v>102000</v>
      </c>
      <c r="F736" s="258">
        <v>0</v>
      </c>
      <c r="G736" s="276">
        <f>Tabla3[[#This Row],[INGRESOS]]-Tabla3[[#This Row],[EGRESOS]]</f>
        <v>-102000</v>
      </c>
      <c r="H736" s="132">
        <v>-3865468.43</v>
      </c>
      <c r="I736" s="119">
        <v>1140</v>
      </c>
      <c r="J736" s="99">
        <f>Tabla3[[#This Row],[EGRESOS]]/Tabla3[[#This Row],[TC]]</f>
        <v>89.473684210526315</v>
      </c>
      <c r="K736" s="99">
        <f>Tabla3[[#This Row],[INGRESOS]]/Tabla3[[#This Row],[TC]]</f>
        <v>0</v>
      </c>
      <c r="L736" s="7" t="s">
        <v>303</v>
      </c>
      <c r="M736" s="7" t="s">
        <v>304</v>
      </c>
      <c r="N736" s="7" t="s">
        <v>20</v>
      </c>
      <c r="O736" s="7" t="s">
        <v>204</v>
      </c>
      <c r="P736" s="7" t="s">
        <v>208</v>
      </c>
      <c r="Q736" s="7" t="s">
        <v>211</v>
      </c>
      <c r="R736" s="7" t="s">
        <v>540</v>
      </c>
      <c r="S736" s="7" t="s">
        <v>541</v>
      </c>
      <c r="T736" s="7"/>
      <c r="U736" s="7" t="s">
        <v>259</v>
      </c>
      <c r="V736" s="7"/>
      <c r="W736" s="7" t="s">
        <v>392</v>
      </c>
      <c r="X736" s="7" t="s">
        <v>49</v>
      </c>
      <c r="Y736" s="7" t="s">
        <v>23</v>
      </c>
    </row>
    <row r="737" spans="1:25" hidden="1" x14ac:dyDescent="0.25">
      <c r="A737" s="256" t="s">
        <v>225</v>
      </c>
      <c r="B737" s="257">
        <v>45692</v>
      </c>
      <c r="C737" s="250" t="s">
        <v>637</v>
      </c>
      <c r="D737" s="250"/>
      <c r="E737" s="262">
        <v>612</v>
      </c>
      <c r="F737" s="258">
        <v>0</v>
      </c>
      <c r="G737" s="276">
        <f>Tabla3[[#This Row],[INGRESOS]]-Tabla3[[#This Row],[EGRESOS]]</f>
        <v>-612</v>
      </c>
      <c r="H737" s="132">
        <v>-3866080.43</v>
      </c>
      <c r="I737" s="119">
        <v>1140</v>
      </c>
      <c r="J737" s="99">
        <f>Tabla3[[#This Row],[EGRESOS]]/Tabla3[[#This Row],[TC]]</f>
        <v>0.5368421052631579</v>
      </c>
      <c r="K737" s="99">
        <f>Tabla3[[#This Row],[INGRESOS]]/Tabla3[[#This Row],[TC]]</f>
        <v>0</v>
      </c>
      <c r="L737" s="7" t="s">
        <v>303</v>
      </c>
      <c r="M737" s="7" t="s">
        <v>304</v>
      </c>
      <c r="N737" s="7" t="s">
        <v>20</v>
      </c>
      <c r="O737" s="7" t="s">
        <v>184</v>
      </c>
      <c r="P737" s="7" t="s">
        <v>187</v>
      </c>
      <c r="Q737" s="7" t="s">
        <v>188</v>
      </c>
      <c r="R737" s="7" t="s">
        <v>317</v>
      </c>
      <c r="S737" s="7"/>
      <c r="T737" s="7"/>
      <c r="U737" s="7" t="s">
        <v>261</v>
      </c>
      <c r="V737" s="7"/>
      <c r="W737" s="7" t="s">
        <v>306</v>
      </c>
      <c r="X737" s="7" t="s">
        <v>98</v>
      </c>
      <c r="Y737" s="7" t="s">
        <v>23</v>
      </c>
    </row>
    <row r="738" spans="1:25" hidden="1" x14ac:dyDescent="0.25">
      <c r="A738" s="256" t="s">
        <v>225</v>
      </c>
      <c r="B738" s="257">
        <v>45693</v>
      </c>
      <c r="C738" s="250" t="s">
        <v>561</v>
      </c>
      <c r="D738" s="250" t="s">
        <v>592</v>
      </c>
      <c r="E738" s="262">
        <v>124953.45</v>
      </c>
      <c r="F738" s="258">
        <v>0</v>
      </c>
      <c r="G738" s="276">
        <f>Tabla3[[#This Row],[INGRESOS]]-Tabla3[[#This Row],[EGRESOS]]</f>
        <v>-124953.45</v>
      </c>
      <c r="H738" s="132">
        <v>-3991033.88</v>
      </c>
      <c r="I738" s="119">
        <v>1140</v>
      </c>
      <c r="J738" s="99">
        <f>Tabla3[[#This Row],[EGRESOS]]/Tabla3[[#This Row],[TC]]</f>
        <v>109.60828947368421</v>
      </c>
      <c r="K738" s="99">
        <f>Tabla3[[#This Row],[INGRESOS]]/Tabla3[[#This Row],[TC]]</f>
        <v>0</v>
      </c>
      <c r="L738" s="7" t="s">
        <v>303</v>
      </c>
      <c r="M738" s="7" t="s">
        <v>304</v>
      </c>
      <c r="N738" s="7" t="s">
        <v>20</v>
      </c>
      <c r="O738" s="7" t="s">
        <v>204</v>
      </c>
      <c r="P738" s="7" t="s">
        <v>210</v>
      </c>
      <c r="Q738" s="7" t="s">
        <v>211</v>
      </c>
      <c r="R738" s="7"/>
      <c r="S738" s="7" t="s">
        <v>593</v>
      </c>
      <c r="T738" s="7" t="s">
        <v>594</v>
      </c>
      <c r="U738" s="7" t="s">
        <v>258</v>
      </c>
      <c r="V738" s="7"/>
      <c r="W738" s="7" t="s">
        <v>306</v>
      </c>
      <c r="X738" s="7" t="s">
        <v>29</v>
      </c>
      <c r="Y738" s="7" t="s">
        <v>23</v>
      </c>
    </row>
    <row r="739" spans="1:25" hidden="1" x14ac:dyDescent="0.25">
      <c r="A739" s="256" t="s">
        <v>225</v>
      </c>
      <c r="B739" s="257">
        <v>45693</v>
      </c>
      <c r="C739" s="250" t="s">
        <v>542</v>
      </c>
      <c r="D739" s="250"/>
      <c r="E739" s="262">
        <v>26729</v>
      </c>
      <c r="F739" s="258">
        <v>0</v>
      </c>
      <c r="G739" s="276">
        <f>Tabla3[[#This Row],[INGRESOS]]-Tabla3[[#This Row],[EGRESOS]]</f>
        <v>-26729</v>
      </c>
      <c r="H739" s="132">
        <v>-4017762.88</v>
      </c>
      <c r="I739" s="119">
        <v>1140</v>
      </c>
      <c r="J739" s="99">
        <f>Tabla3[[#This Row],[EGRESOS]]/Tabla3[[#This Row],[TC]]</f>
        <v>23.446491228070176</v>
      </c>
      <c r="K739" s="99">
        <f>Tabla3[[#This Row],[INGRESOS]]/Tabla3[[#This Row],[TC]]</f>
        <v>0</v>
      </c>
      <c r="L739" s="7" t="s">
        <v>303</v>
      </c>
      <c r="M739" s="7" t="s">
        <v>304</v>
      </c>
      <c r="N739" s="7" t="s">
        <v>20</v>
      </c>
      <c r="O739" s="7" t="s">
        <v>204</v>
      </c>
      <c r="P739" s="7" t="s">
        <v>210</v>
      </c>
      <c r="Q739" s="7" t="s">
        <v>211</v>
      </c>
      <c r="R739" s="7" t="s">
        <v>455</v>
      </c>
      <c r="S739" s="7" t="s">
        <v>456</v>
      </c>
      <c r="T739" s="7"/>
      <c r="U739" s="7" t="s">
        <v>258</v>
      </c>
      <c r="V739" s="7"/>
      <c r="W739" s="7" t="s">
        <v>306</v>
      </c>
      <c r="X739" s="7" t="s">
        <v>98</v>
      </c>
      <c r="Y739" s="7" t="s">
        <v>23</v>
      </c>
    </row>
    <row r="740" spans="1:25" hidden="1" x14ac:dyDescent="0.25">
      <c r="A740" s="256" t="s">
        <v>225</v>
      </c>
      <c r="B740" s="257">
        <v>45693</v>
      </c>
      <c r="C740" s="250" t="s">
        <v>637</v>
      </c>
      <c r="D740" s="250"/>
      <c r="E740" s="262">
        <v>910.09</v>
      </c>
      <c r="F740" s="258">
        <v>0</v>
      </c>
      <c r="G740" s="276">
        <f>Tabla3[[#This Row],[INGRESOS]]-Tabla3[[#This Row],[EGRESOS]]</f>
        <v>-910.09</v>
      </c>
      <c r="H740" s="132">
        <v>-4018672.97</v>
      </c>
      <c r="I740" s="119">
        <v>1140</v>
      </c>
      <c r="J740" s="99">
        <f>Tabla3[[#This Row],[EGRESOS]]/Tabla3[[#This Row],[TC]]</f>
        <v>0.79832456140350883</v>
      </c>
      <c r="K740" s="99">
        <f>Tabla3[[#This Row],[INGRESOS]]/Tabla3[[#This Row],[TC]]</f>
        <v>0</v>
      </c>
      <c r="L740" s="7" t="s">
        <v>303</v>
      </c>
      <c r="M740" s="7" t="s">
        <v>304</v>
      </c>
      <c r="N740" s="7" t="s">
        <v>20</v>
      </c>
      <c r="O740" s="7" t="s">
        <v>184</v>
      </c>
      <c r="P740" s="7" t="s">
        <v>187</v>
      </c>
      <c r="Q740" s="7" t="s">
        <v>188</v>
      </c>
      <c r="R740" s="7" t="s">
        <v>317</v>
      </c>
      <c r="S740" s="7"/>
      <c r="T740" s="7"/>
      <c r="U740" s="7" t="s">
        <v>261</v>
      </c>
      <c r="V740" s="7"/>
      <c r="W740" s="7" t="s">
        <v>306</v>
      </c>
      <c r="X740" s="7" t="s">
        <v>98</v>
      </c>
      <c r="Y740" s="7" t="s">
        <v>23</v>
      </c>
    </row>
    <row r="741" spans="1:25" hidden="1" x14ac:dyDescent="0.25">
      <c r="A741" s="256" t="s">
        <v>225</v>
      </c>
      <c r="B741" s="257">
        <v>45695</v>
      </c>
      <c r="C741" s="250" t="s">
        <v>537</v>
      </c>
      <c r="D741" s="250"/>
      <c r="E741" s="262">
        <v>973871.04</v>
      </c>
      <c r="F741" s="258">
        <v>0</v>
      </c>
      <c r="G741" s="276">
        <f>Tabla3[[#This Row],[INGRESOS]]-Tabla3[[#This Row],[EGRESOS]]</f>
        <v>-973871.04</v>
      </c>
      <c r="H741" s="132">
        <v>-4992544.01</v>
      </c>
      <c r="I741" s="119">
        <v>1140</v>
      </c>
      <c r="J741" s="99">
        <f>Tabla3[[#This Row],[EGRESOS]]/Tabla3[[#This Row],[TC]]</f>
        <v>854.27284210526318</v>
      </c>
      <c r="K741" s="99">
        <f>Tabla3[[#This Row],[INGRESOS]]/Tabla3[[#This Row],[TC]]</f>
        <v>0</v>
      </c>
      <c r="L741" s="7" t="s">
        <v>303</v>
      </c>
      <c r="M741" s="7" t="s">
        <v>304</v>
      </c>
      <c r="N741" s="7" t="s">
        <v>20</v>
      </c>
      <c r="O741" s="7" t="s">
        <v>214</v>
      </c>
      <c r="P741" s="7" t="s">
        <v>216</v>
      </c>
      <c r="Q741" s="7" t="s">
        <v>217</v>
      </c>
      <c r="R741" s="7" t="s">
        <v>538</v>
      </c>
      <c r="S741" s="7"/>
      <c r="T741" s="7"/>
      <c r="U741" s="7" t="s">
        <v>262</v>
      </c>
      <c r="V741" s="7"/>
      <c r="W741" s="7" t="s">
        <v>306</v>
      </c>
      <c r="X741" s="7"/>
      <c r="Y741" s="7"/>
    </row>
    <row r="742" spans="1:25" hidden="1" x14ac:dyDescent="0.25">
      <c r="A742" s="256" t="s">
        <v>225</v>
      </c>
      <c r="B742" s="257">
        <v>45698</v>
      </c>
      <c r="C742" s="250" t="s">
        <v>535</v>
      </c>
      <c r="D742" s="250"/>
      <c r="E742" s="262">
        <v>0</v>
      </c>
      <c r="F742" s="258">
        <v>3000000</v>
      </c>
      <c r="G742" s="276">
        <f>Tabla3[[#This Row],[INGRESOS]]-Tabla3[[#This Row],[EGRESOS]]</f>
        <v>3000000</v>
      </c>
      <c r="H742" s="132">
        <v>-1992544.01</v>
      </c>
      <c r="I742" s="119">
        <v>1140</v>
      </c>
      <c r="J742" s="99">
        <f>Tabla3[[#This Row],[EGRESOS]]/Tabla3[[#This Row],[TC]]</f>
        <v>0</v>
      </c>
      <c r="K742" s="99">
        <f>Tabla3[[#This Row],[INGRESOS]]/Tabla3[[#This Row],[TC]]</f>
        <v>2631.5789473684213</v>
      </c>
      <c r="L742" s="7" t="s">
        <v>303</v>
      </c>
      <c r="M742" s="7" t="s">
        <v>304</v>
      </c>
      <c r="N742" s="7" t="s">
        <v>20</v>
      </c>
      <c r="O742" s="7" t="s">
        <v>214</v>
      </c>
      <c r="P742" s="7" t="s">
        <v>216</v>
      </c>
      <c r="Q742" s="7" t="s">
        <v>217</v>
      </c>
      <c r="R742" s="7" t="s">
        <v>914</v>
      </c>
      <c r="S742" s="7"/>
      <c r="T742" s="7"/>
      <c r="U742" s="7" t="s">
        <v>262</v>
      </c>
      <c r="V742" s="7"/>
      <c r="W742" s="7" t="s">
        <v>306</v>
      </c>
      <c r="X742" s="7"/>
      <c r="Y742" s="7"/>
    </row>
    <row r="743" spans="1:25" hidden="1" x14ac:dyDescent="0.25">
      <c r="A743" s="256" t="s">
        <v>225</v>
      </c>
      <c r="B743" s="257">
        <v>45698</v>
      </c>
      <c r="C743" s="250" t="s">
        <v>542</v>
      </c>
      <c r="D743" s="250"/>
      <c r="E743" s="262">
        <v>1000000</v>
      </c>
      <c r="F743" s="258">
        <v>0</v>
      </c>
      <c r="G743" s="276">
        <f>Tabla3[[#This Row],[INGRESOS]]-Tabla3[[#This Row],[EGRESOS]]</f>
        <v>-1000000</v>
      </c>
      <c r="H743" s="132">
        <v>-2992544.01</v>
      </c>
      <c r="I743" s="119">
        <v>1140</v>
      </c>
      <c r="J743" s="99">
        <f>Tabla3[[#This Row],[EGRESOS]]/Tabla3[[#This Row],[TC]]</f>
        <v>877.19298245614038</v>
      </c>
      <c r="K743" s="99">
        <f>Tabla3[[#This Row],[INGRESOS]]/Tabla3[[#This Row],[TC]]</f>
        <v>0</v>
      </c>
      <c r="L743" s="7" t="s">
        <v>303</v>
      </c>
      <c r="M743" s="7" t="s">
        <v>304</v>
      </c>
      <c r="N743" s="7" t="s">
        <v>20</v>
      </c>
      <c r="O743" s="7" t="s">
        <v>184</v>
      </c>
      <c r="P743" s="7" t="s">
        <v>194</v>
      </c>
      <c r="Q743" s="7" t="s">
        <v>196</v>
      </c>
      <c r="R743" s="282"/>
      <c r="S743" s="7" t="s">
        <v>311</v>
      </c>
      <c r="T743" s="7"/>
      <c r="U743" s="7" t="s">
        <v>277</v>
      </c>
      <c r="V743" s="7" t="s">
        <v>311</v>
      </c>
      <c r="W743" s="7" t="s">
        <v>306</v>
      </c>
      <c r="X743" s="7" t="s">
        <v>103</v>
      </c>
      <c r="Y743" s="7" t="s">
        <v>23</v>
      </c>
    </row>
    <row r="744" spans="1:25" hidden="1" x14ac:dyDescent="0.25">
      <c r="A744" s="256" t="s">
        <v>225</v>
      </c>
      <c r="B744" s="257">
        <v>45698</v>
      </c>
      <c r="C744" s="250" t="s">
        <v>571</v>
      </c>
      <c r="D744" s="250"/>
      <c r="E744" s="262">
        <v>121</v>
      </c>
      <c r="F744" s="258">
        <v>0</v>
      </c>
      <c r="G744" s="276">
        <f>Tabla3[[#This Row],[INGRESOS]]-Tabla3[[#This Row],[EGRESOS]]</f>
        <v>-121</v>
      </c>
      <c r="H744" s="132">
        <v>-2992665.01</v>
      </c>
      <c r="I744" s="119">
        <v>1140</v>
      </c>
      <c r="J744" s="99">
        <f>Tabla3[[#This Row],[EGRESOS]]/Tabla3[[#This Row],[TC]]</f>
        <v>0.10614035087719298</v>
      </c>
      <c r="K744" s="99">
        <f>Tabla3[[#This Row],[INGRESOS]]/Tabla3[[#This Row],[TC]]</f>
        <v>0</v>
      </c>
      <c r="L744" s="7" t="s">
        <v>303</v>
      </c>
      <c r="M744" s="7" t="s">
        <v>304</v>
      </c>
      <c r="N744" s="7" t="s">
        <v>20</v>
      </c>
      <c r="O744" s="7" t="s">
        <v>184</v>
      </c>
      <c r="P744" s="7" t="s">
        <v>185</v>
      </c>
      <c r="Q744" s="7" t="s">
        <v>186</v>
      </c>
      <c r="R744" s="7"/>
      <c r="S744" s="7"/>
      <c r="T744" s="7"/>
      <c r="U744" s="7" t="s">
        <v>261</v>
      </c>
      <c r="V744" s="7"/>
      <c r="W744" s="7" t="s">
        <v>306</v>
      </c>
      <c r="X744" s="7" t="s">
        <v>98</v>
      </c>
      <c r="Y744" s="7" t="s">
        <v>23</v>
      </c>
    </row>
    <row r="745" spans="1:25" hidden="1" x14ac:dyDescent="0.25">
      <c r="A745" s="256" t="s">
        <v>225</v>
      </c>
      <c r="B745" s="257">
        <v>45698</v>
      </c>
      <c r="C745" s="250" t="s">
        <v>568</v>
      </c>
      <c r="D745" s="250"/>
      <c r="E745" s="262">
        <v>1173708.99</v>
      </c>
      <c r="F745" s="258">
        <v>0</v>
      </c>
      <c r="G745" s="276">
        <f>Tabla3[[#This Row],[INGRESOS]]-Tabla3[[#This Row],[EGRESOS]]</f>
        <v>-1173708.99</v>
      </c>
      <c r="H745" s="132">
        <v>-4166374</v>
      </c>
      <c r="I745" s="119">
        <v>1140</v>
      </c>
      <c r="J745" s="99">
        <f>Tabla3[[#This Row],[EGRESOS]]/Tabla3[[#This Row],[TC]]</f>
        <v>1029.5692894736842</v>
      </c>
      <c r="K745" s="99">
        <f>Tabla3[[#This Row],[INGRESOS]]/Tabla3[[#This Row],[TC]]</f>
        <v>0</v>
      </c>
      <c r="L745" s="7" t="s">
        <v>303</v>
      </c>
      <c r="M745" s="7" t="s">
        <v>304</v>
      </c>
      <c r="N745" s="7" t="s">
        <v>20</v>
      </c>
      <c r="O745" s="7" t="s">
        <v>184</v>
      </c>
      <c r="P745" s="7" t="s">
        <v>187</v>
      </c>
      <c r="Q745" s="7" t="s">
        <v>188</v>
      </c>
      <c r="R745" s="7" t="s">
        <v>595</v>
      </c>
      <c r="S745" s="7" t="s">
        <v>68</v>
      </c>
      <c r="T745" s="7"/>
      <c r="U745" s="7" t="s">
        <v>265</v>
      </c>
      <c r="V745" s="7"/>
      <c r="W745" s="7" t="s">
        <v>306</v>
      </c>
      <c r="X745" s="7" t="s">
        <v>98</v>
      </c>
      <c r="Y745" s="7" t="s">
        <v>23</v>
      </c>
    </row>
    <row r="746" spans="1:25" hidden="1" x14ac:dyDescent="0.25">
      <c r="A746" s="256" t="s">
        <v>225</v>
      </c>
      <c r="B746" s="257">
        <v>45698</v>
      </c>
      <c r="C746" s="250" t="s">
        <v>637</v>
      </c>
      <c r="D746" s="250"/>
      <c r="E746" s="262">
        <v>13042.98</v>
      </c>
      <c r="F746" s="258">
        <v>0</v>
      </c>
      <c r="G746" s="276">
        <f>Tabla3[[#This Row],[INGRESOS]]-Tabla3[[#This Row],[EGRESOS]]</f>
        <v>-13042.98</v>
      </c>
      <c r="H746" s="132">
        <v>-4179416.98</v>
      </c>
      <c r="I746" s="119">
        <v>1140</v>
      </c>
      <c r="J746" s="99">
        <f>Tabla3[[#This Row],[EGRESOS]]/Tabla3[[#This Row],[TC]]</f>
        <v>11.441210526315789</v>
      </c>
      <c r="K746" s="99">
        <f>Tabla3[[#This Row],[INGRESOS]]/Tabla3[[#This Row],[TC]]</f>
        <v>0</v>
      </c>
      <c r="L746" s="7" t="s">
        <v>303</v>
      </c>
      <c r="M746" s="7" t="s">
        <v>304</v>
      </c>
      <c r="N746" s="7" t="s">
        <v>20</v>
      </c>
      <c r="O746" s="7" t="s">
        <v>184</v>
      </c>
      <c r="P746" s="7" t="s">
        <v>187</v>
      </c>
      <c r="Q746" s="7" t="s">
        <v>188</v>
      </c>
      <c r="R746" s="7" t="s">
        <v>317</v>
      </c>
      <c r="S746" s="7"/>
      <c r="T746" s="7"/>
      <c r="U746" s="7" t="s">
        <v>261</v>
      </c>
      <c r="V746" s="7"/>
      <c r="W746" s="7" t="s">
        <v>306</v>
      </c>
      <c r="X746" s="7" t="s">
        <v>98</v>
      </c>
      <c r="Y746" s="7" t="s">
        <v>23</v>
      </c>
    </row>
    <row r="747" spans="1:25" hidden="1" x14ac:dyDescent="0.25">
      <c r="A747" s="256" t="s">
        <v>225</v>
      </c>
      <c r="B747" s="257">
        <v>45699</v>
      </c>
      <c r="C747" s="250" t="s">
        <v>561</v>
      </c>
      <c r="D747" s="250" t="s">
        <v>596</v>
      </c>
      <c r="E747" s="262">
        <v>642010</v>
      </c>
      <c r="F747" s="258">
        <v>0</v>
      </c>
      <c r="G747" s="276">
        <f>Tabla3[[#This Row],[INGRESOS]]-Tabla3[[#This Row],[EGRESOS]]</f>
        <v>-642010</v>
      </c>
      <c r="H747" s="132">
        <v>-4821426.9800000004</v>
      </c>
      <c r="I747" s="119">
        <v>1140</v>
      </c>
      <c r="J747" s="99">
        <f>Tabla3[[#This Row],[EGRESOS]]/Tabla3[[#This Row],[TC]]</f>
        <v>563.16666666666663</v>
      </c>
      <c r="K747" s="99">
        <f>Tabla3[[#This Row],[INGRESOS]]/Tabla3[[#This Row],[TC]]</f>
        <v>0</v>
      </c>
      <c r="L747" s="7" t="s">
        <v>303</v>
      </c>
      <c r="M747" s="7" t="s">
        <v>304</v>
      </c>
      <c r="N747" s="7" t="s">
        <v>20</v>
      </c>
      <c r="O747" s="7" t="s">
        <v>204</v>
      </c>
      <c r="P747" s="7" t="s">
        <v>210</v>
      </c>
      <c r="Q747" s="7" t="s">
        <v>230</v>
      </c>
      <c r="R747" s="7"/>
      <c r="S747" s="7" t="s">
        <v>469</v>
      </c>
      <c r="T747" s="7"/>
      <c r="U747" s="7" t="s">
        <v>258</v>
      </c>
      <c r="V747" s="7"/>
      <c r="W747" s="7" t="s">
        <v>306</v>
      </c>
      <c r="X747" s="7" t="s">
        <v>29</v>
      </c>
      <c r="Y747" s="7" t="s">
        <v>23</v>
      </c>
    </row>
    <row r="748" spans="1:25" hidden="1" x14ac:dyDescent="0.25">
      <c r="A748" s="256" t="s">
        <v>225</v>
      </c>
      <c r="B748" s="257">
        <v>45699</v>
      </c>
      <c r="C748" s="250" t="s">
        <v>637</v>
      </c>
      <c r="D748" s="250"/>
      <c r="E748" s="262">
        <v>3852.06</v>
      </c>
      <c r="F748" s="258">
        <v>0</v>
      </c>
      <c r="G748" s="276">
        <f>Tabla3[[#This Row],[INGRESOS]]-Tabla3[[#This Row],[EGRESOS]]</f>
        <v>-3852.06</v>
      </c>
      <c r="H748" s="132">
        <v>-4825279.04</v>
      </c>
      <c r="I748" s="119">
        <v>1140</v>
      </c>
      <c r="J748" s="99">
        <f>Tabla3[[#This Row],[EGRESOS]]/Tabla3[[#This Row],[TC]]</f>
        <v>3.379</v>
      </c>
      <c r="K748" s="99">
        <f>Tabla3[[#This Row],[INGRESOS]]/Tabla3[[#This Row],[TC]]</f>
        <v>0</v>
      </c>
      <c r="L748" s="7" t="s">
        <v>303</v>
      </c>
      <c r="M748" s="7" t="s">
        <v>304</v>
      </c>
      <c r="N748" s="7" t="s">
        <v>20</v>
      </c>
      <c r="O748" s="7" t="s">
        <v>184</v>
      </c>
      <c r="P748" s="7" t="s">
        <v>187</v>
      </c>
      <c r="Q748" s="7" t="s">
        <v>188</v>
      </c>
      <c r="R748" s="7" t="s">
        <v>317</v>
      </c>
      <c r="S748" s="7"/>
      <c r="T748" s="7"/>
      <c r="U748" s="7" t="s">
        <v>261</v>
      </c>
      <c r="V748" s="7"/>
      <c r="W748" s="7" t="s">
        <v>306</v>
      </c>
      <c r="X748" s="7" t="s">
        <v>98</v>
      </c>
      <c r="Y748" s="7" t="s">
        <v>23</v>
      </c>
    </row>
    <row r="749" spans="1:25" hidden="1" x14ac:dyDescent="0.25">
      <c r="A749" s="256" t="s">
        <v>225</v>
      </c>
      <c r="B749" s="257">
        <v>45701</v>
      </c>
      <c r="C749" s="250" t="s">
        <v>521</v>
      </c>
      <c r="D749" s="250">
        <v>51936050</v>
      </c>
      <c r="E749" s="262">
        <v>713000</v>
      </c>
      <c r="F749" s="258">
        <v>0</v>
      </c>
      <c r="G749" s="276">
        <f>Tabla3[[#This Row],[INGRESOS]]-Tabla3[[#This Row],[EGRESOS]]</f>
        <v>-713000</v>
      </c>
      <c r="H749" s="132">
        <v>-5538279.04</v>
      </c>
      <c r="I749" s="119">
        <v>1140</v>
      </c>
      <c r="J749" s="99">
        <f>Tabla3[[#This Row],[EGRESOS]]/Tabla3[[#This Row],[TC]]</f>
        <v>625.43859649122805</v>
      </c>
      <c r="K749" s="99">
        <f>Tabla3[[#This Row],[INGRESOS]]/Tabla3[[#This Row],[TC]]</f>
        <v>0</v>
      </c>
      <c r="L749" s="7" t="s">
        <v>303</v>
      </c>
      <c r="M749" s="7" t="s">
        <v>304</v>
      </c>
      <c r="N749" s="7" t="s">
        <v>20</v>
      </c>
      <c r="O749" s="7" t="s">
        <v>197</v>
      </c>
      <c r="P749" s="7" t="s">
        <v>198</v>
      </c>
      <c r="Q749" s="7" t="s">
        <v>201</v>
      </c>
      <c r="R749" s="7" t="s">
        <v>597</v>
      </c>
      <c r="S749" s="7" t="s">
        <v>598</v>
      </c>
      <c r="T749" s="7"/>
      <c r="U749" s="7" t="s">
        <v>260</v>
      </c>
      <c r="V749" s="7"/>
      <c r="W749" s="7" t="s">
        <v>306</v>
      </c>
      <c r="X749" s="7" t="s">
        <v>29</v>
      </c>
      <c r="Y749" s="7" t="s">
        <v>23</v>
      </c>
    </row>
    <row r="750" spans="1:25" hidden="1" x14ac:dyDescent="0.25">
      <c r="A750" s="256" t="s">
        <v>225</v>
      </c>
      <c r="B750" s="257">
        <v>45701</v>
      </c>
      <c r="C750" s="250" t="s">
        <v>542</v>
      </c>
      <c r="D750" s="250"/>
      <c r="E750" s="262">
        <v>381312</v>
      </c>
      <c r="F750" s="258">
        <v>0</v>
      </c>
      <c r="G750" s="276">
        <f>Tabla3[[#This Row],[INGRESOS]]-Tabla3[[#This Row],[EGRESOS]]</f>
        <v>-381312</v>
      </c>
      <c r="H750" s="132">
        <v>-5919591.04</v>
      </c>
      <c r="I750" s="119">
        <v>1140</v>
      </c>
      <c r="J750" s="99">
        <f>Tabla3[[#This Row],[EGRESOS]]/Tabla3[[#This Row],[TC]]</f>
        <v>334.48421052631579</v>
      </c>
      <c r="K750" s="99">
        <f>Tabla3[[#This Row],[INGRESOS]]/Tabla3[[#This Row],[TC]]</f>
        <v>0</v>
      </c>
      <c r="L750" s="7" t="s">
        <v>303</v>
      </c>
      <c r="M750" s="7" t="s">
        <v>304</v>
      </c>
      <c r="N750" s="7" t="s">
        <v>20</v>
      </c>
      <c r="O750" s="7" t="s">
        <v>184</v>
      </c>
      <c r="P750" s="7" t="s">
        <v>185</v>
      </c>
      <c r="Q750" s="7" t="s">
        <v>226</v>
      </c>
      <c r="R750" s="7" t="s">
        <v>599</v>
      </c>
      <c r="S750" s="7" t="s">
        <v>600</v>
      </c>
      <c r="T750" s="7"/>
      <c r="U750" s="7" t="s">
        <v>258</v>
      </c>
      <c r="V750" s="7"/>
      <c r="W750" s="7" t="s">
        <v>306</v>
      </c>
      <c r="X750" s="7" t="s">
        <v>29</v>
      </c>
      <c r="Y750" s="7" t="s">
        <v>23</v>
      </c>
    </row>
    <row r="751" spans="1:25" hidden="1" x14ac:dyDescent="0.25">
      <c r="A751" s="256" t="s">
        <v>225</v>
      </c>
      <c r="B751" s="257">
        <v>45701</v>
      </c>
      <c r="C751" s="250" t="s">
        <v>571</v>
      </c>
      <c r="D751" s="250"/>
      <c r="E751" s="262">
        <v>121</v>
      </c>
      <c r="F751" s="258">
        <v>0</v>
      </c>
      <c r="G751" s="276">
        <f>Tabla3[[#This Row],[INGRESOS]]-Tabla3[[#This Row],[EGRESOS]]</f>
        <v>-121</v>
      </c>
      <c r="H751" s="132">
        <v>-5919712.04</v>
      </c>
      <c r="I751" s="119">
        <v>1140</v>
      </c>
      <c r="J751" s="99">
        <f>Tabla3[[#This Row],[EGRESOS]]/Tabla3[[#This Row],[TC]]</f>
        <v>0.10614035087719298</v>
      </c>
      <c r="K751" s="99">
        <f>Tabla3[[#This Row],[INGRESOS]]/Tabla3[[#This Row],[TC]]</f>
        <v>0</v>
      </c>
      <c r="L751" s="7" t="s">
        <v>303</v>
      </c>
      <c r="M751" s="7" t="s">
        <v>304</v>
      </c>
      <c r="N751" s="7" t="s">
        <v>20</v>
      </c>
      <c r="O751" s="7" t="s">
        <v>184</v>
      </c>
      <c r="P751" s="7" t="s">
        <v>185</v>
      </c>
      <c r="Q751" s="7" t="s">
        <v>186</v>
      </c>
      <c r="R751" s="7"/>
      <c r="S751" s="7"/>
      <c r="T751" s="7"/>
      <c r="U751" s="7" t="s">
        <v>261</v>
      </c>
      <c r="V751" s="7"/>
      <c r="W751" s="7" t="s">
        <v>306</v>
      </c>
      <c r="X751" s="7" t="s">
        <v>98</v>
      </c>
      <c r="Y751" s="7" t="s">
        <v>23</v>
      </c>
    </row>
    <row r="752" spans="1:25" hidden="1" x14ac:dyDescent="0.25">
      <c r="A752" s="256" t="s">
        <v>225</v>
      </c>
      <c r="B752" s="257">
        <v>45701</v>
      </c>
      <c r="C752" s="250" t="s">
        <v>637</v>
      </c>
      <c r="D752" s="250"/>
      <c r="E752" s="262">
        <v>6566.6</v>
      </c>
      <c r="F752" s="258">
        <v>0</v>
      </c>
      <c r="G752" s="276">
        <f>Tabla3[[#This Row],[INGRESOS]]-Tabla3[[#This Row],[EGRESOS]]</f>
        <v>-6566.6</v>
      </c>
      <c r="H752" s="132">
        <v>-5926278.6399999997</v>
      </c>
      <c r="I752" s="119">
        <v>1140</v>
      </c>
      <c r="J752" s="99">
        <f>Tabla3[[#This Row],[EGRESOS]]/Tabla3[[#This Row],[TC]]</f>
        <v>5.7601754385964918</v>
      </c>
      <c r="K752" s="99">
        <f>Tabla3[[#This Row],[INGRESOS]]/Tabla3[[#This Row],[TC]]</f>
        <v>0</v>
      </c>
      <c r="L752" s="7" t="s">
        <v>303</v>
      </c>
      <c r="M752" s="7" t="s">
        <v>304</v>
      </c>
      <c r="N752" s="7" t="s">
        <v>20</v>
      </c>
      <c r="O752" s="7" t="s">
        <v>184</v>
      </c>
      <c r="P752" s="7" t="s">
        <v>187</v>
      </c>
      <c r="Q752" s="7" t="s">
        <v>188</v>
      </c>
      <c r="R752" s="7" t="s">
        <v>317</v>
      </c>
      <c r="S752" s="7"/>
      <c r="T752" s="7"/>
      <c r="U752" s="7" t="s">
        <v>261</v>
      </c>
      <c r="V752" s="7"/>
      <c r="W752" s="7" t="s">
        <v>306</v>
      </c>
      <c r="X752" s="7" t="s">
        <v>98</v>
      </c>
      <c r="Y752" s="7" t="s">
        <v>23</v>
      </c>
    </row>
    <row r="753" spans="1:25" hidden="1" x14ac:dyDescent="0.25">
      <c r="A753" s="256" t="s">
        <v>225</v>
      </c>
      <c r="B753" s="257">
        <v>45702</v>
      </c>
      <c r="C753" s="250" t="s">
        <v>601</v>
      </c>
      <c r="D753" s="250"/>
      <c r="E753" s="262">
        <v>0</v>
      </c>
      <c r="F753" s="258">
        <v>2000000</v>
      </c>
      <c r="G753" s="276">
        <f>Tabla3[[#This Row],[INGRESOS]]-Tabla3[[#This Row],[EGRESOS]]</f>
        <v>2000000</v>
      </c>
      <c r="H753" s="132">
        <v>-3926278.64</v>
      </c>
      <c r="I753" s="119">
        <v>1140</v>
      </c>
      <c r="J753" s="99">
        <f>Tabla3[[#This Row],[EGRESOS]]/Tabla3[[#This Row],[TC]]</f>
        <v>0</v>
      </c>
      <c r="K753" s="99">
        <f>Tabla3[[#This Row],[INGRESOS]]/Tabla3[[#This Row],[TC]]</f>
        <v>1754.3859649122808</v>
      </c>
      <c r="L753" s="7" t="s">
        <v>303</v>
      </c>
      <c r="M753" s="7" t="s">
        <v>304</v>
      </c>
      <c r="N753" s="7" t="s">
        <v>20</v>
      </c>
      <c r="O753" s="7" t="s">
        <v>214</v>
      </c>
      <c r="P753" s="7" t="s">
        <v>216</v>
      </c>
      <c r="Q753" s="7" t="s">
        <v>217</v>
      </c>
      <c r="R753" s="7" t="s">
        <v>914</v>
      </c>
      <c r="S753" s="7"/>
      <c r="T753" s="7"/>
      <c r="U753" s="7" t="s">
        <v>262</v>
      </c>
      <c r="V753" s="7"/>
      <c r="W753" s="7" t="s">
        <v>306</v>
      </c>
      <c r="X753" s="7"/>
      <c r="Y753" s="7"/>
    </row>
    <row r="754" spans="1:25" hidden="1" x14ac:dyDescent="0.25">
      <c r="A754" s="256" t="s">
        <v>225</v>
      </c>
      <c r="B754" s="257">
        <v>45702</v>
      </c>
      <c r="C754" s="250" t="s">
        <v>542</v>
      </c>
      <c r="D754" s="250"/>
      <c r="E754" s="262">
        <v>238670</v>
      </c>
      <c r="F754" s="258">
        <v>0</v>
      </c>
      <c r="G754" s="276">
        <f>Tabla3[[#This Row],[INGRESOS]]-Tabla3[[#This Row],[EGRESOS]]</f>
        <v>-238670</v>
      </c>
      <c r="H754" s="132">
        <v>-4164948.64</v>
      </c>
      <c r="I754" s="119">
        <v>1140</v>
      </c>
      <c r="J754" s="99">
        <f>Tabla3[[#This Row],[EGRESOS]]/Tabla3[[#This Row],[TC]]</f>
        <v>209.35964912280701</v>
      </c>
      <c r="K754" s="99">
        <f>Tabla3[[#This Row],[INGRESOS]]/Tabla3[[#This Row],[TC]]</f>
        <v>0</v>
      </c>
      <c r="L754" s="7" t="s">
        <v>303</v>
      </c>
      <c r="M754" s="7" t="s">
        <v>304</v>
      </c>
      <c r="N754" s="7" t="s">
        <v>20</v>
      </c>
      <c r="O754" s="7" t="s">
        <v>204</v>
      </c>
      <c r="P754" s="7" t="s">
        <v>208</v>
      </c>
      <c r="Q754" s="7" t="s">
        <v>228</v>
      </c>
      <c r="R754" s="7" t="s">
        <v>602</v>
      </c>
      <c r="S754" s="7" t="s">
        <v>603</v>
      </c>
      <c r="T754" s="7"/>
      <c r="U754" s="7" t="s">
        <v>258</v>
      </c>
      <c r="V754" s="7"/>
      <c r="W754" s="7" t="s">
        <v>306</v>
      </c>
      <c r="X754" s="7" t="s">
        <v>49</v>
      </c>
      <c r="Y754" s="7" t="s">
        <v>23</v>
      </c>
    </row>
    <row r="755" spans="1:25" hidden="1" x14ac:dyDescent="0.25">
      <c r="A755" s="256" t="s">
        <v>225</v>
      </c>
      <c r="B755" s="257">
        <v>45702</v>
      </c>
      <c r="C755" s="250" t="s">
        <v>637</v>
      </c>
      <c r="D755" s="250"/>
      <c r="E755" s="262">
        <v>1432.02</v>
      </c>
      <c r="F755" s="258">
        <v>0</v>
      </c>
      <c r="G755" s="276">
        <f>Tabla3[[#This Row],[INGRESOS]]-Tabla3[[#This Row],[EGRESOS]]</f>
        <v>-1432.02</v>
      </c>
      <c r="H755" s="132">
        <v>-4166380.66</v>
      </c>
      <c r="I755" s="119">
        <v>1140</v>
      </c>
      <c r="J755" s="99">
        <f>Tabla3[[#This Row],[EGRESOS]]/Tabla3[[#This Row],[TC]]</f>
        <v>1.2561578947368421</v>
      </c>
      <c r="K755" s="99">
        <f>Tabla3[[#This Row],[INGRESOS]]/Tabla3[[#This Row],[TC]]</f>
        <v>0</v>
      </c>
      <c r="L755" s="7" t="s">
        <v>303</v>
      </c>
      <c r="M755" s="7" t="s">
        <v>304</v>
      </c>
      <c r="N755" s="7" t="s">
        <v>20</v>
      </c>
      <c r="O755" s="7" t="s">
        <v>184</v>
      </c>
      <c r="P755" s="7" t="s">
        <v>187</v>
      </c>
      <c r="Q755" s="7" t="s">
        <v>188</v>
      </c>
      <c r="R755" s="7" t="s">
        <v>317</v>
      </c>
      <c r="S755" s="7"/>
      <c r="T755" s="7"/>
      <c r="U755" s="7" t="s">
        <v>261</v>
      </c>
      <c r="V755" s="7"/>
      <c r="W755" s="7" t="s">
        <v>306</v>
      </c>
      <c r="X755" s="7" t="s">
        <v>98</v>
      </c>
      <c r="Y755" s="7" t="s">
        <v>23</v>
      </c>
    </row>
    <row r="756" spans="1:25" x14ac:dyDescent="0.25">
      <c r="A756" s="256" t="s">
        <v>225</v>
      </c>
      <c r="B756" s="257">
        <v>45706</v>
      </c>
      <c r="C756" s="250" t="s">
        <v>521</v>
      </c>
      <c r="D756" s="250" t="s">
        <v>604</v>
      </c>
      <c r="E756" s="262">
        <v>189690.23999999999</v>
      </c>
      <c r="F756" s="258">
        <v>0</v>
      </c>
      <c r="G756" s="276">
        <f>Tabla3[[#This Row],[INGRESOS]]-Tabla3[[#This Row],[EGRESOS]]</f>
        <v>-189690.23999999999</v>
      </c>
      <c r="H756" s="132">
        <v>-4356070.9000000004</v>
      </c>
      <c r="I756" s="119">
        <v>1140</v>
      </c>
      <c r="J756" s="99">
        <f>Tabla3[[#This Row],[EGRESOS]]/Tabla3[[#This Row],[TC]]</f>
        <v>166.39494736842104</v>
      </c>
      <c r="K756" s="99">
        <f>Tabla3[[#This Row],[INGRESOS]]/Tabla3[[#This Row],[TC]]</f>
        <v>0</v>
      </c>
      <c r="L756" s="7" t="s">
        <v>303</v>
      </c>
      <c r="M756" s="7" t="s">
        <v>304</v>
      </c>
      <c r="N756" s="7" t="s">
        <v>20</v>
      </c>
      <c r="O756" s="7" t="s">
        <v>742</v>
      </c>
      <c r="P756" s="7" t="s">
        <v>220</v>
      </c>
      <c r="Q756" s="7" t="s">
        <v>222</v>
      </c>
      <c r="R756" s="7"/>
      <c r="S756" s="7" t="s">
        <v>529</v>
      </c>
      <c r="T756" s="7" t="s">
        <v>605</v>
      </c>
      <c r="U756" s="7" t="s">
        <v>258</v>
      </c>
      <c r="V756" s="7"/>
      <c r="W756" s="7" t="s">
        <v>306</v>
      </c>
      <c r="X756" s="7" t="s">
        <v>49</v>
      </c>
      <c r="Y756" s="7" t="s">
        <v>23</v>
      </c>
    </row>
    <row r="757" spans="1:25" hidden="1" x14ac:dyDescent="0.25">
      <c r="A757" s="256" t="s">
        <v>225</v>
      </c>
      <c r="B757" s="257">
        <v>45706</v>
      </c>
      <c r="C757" s="250" t="s">
        <v>637</v>
      </c>
      <c r="D757" s="250"/>
      <c r="E757" s="262">
        <v>1138.1400000000001</v>
      </c>
      <c r="F757" s="258">
        <v>0</v>
      </c>
      <c r="G757" s="276">
        <f>Tabla3[[#This Row],[INGRESOS]]-Tabla3[[#This Row],[EGRESOS]]</f>
        <v>-1138.1400000000001</v>
      </c>
      <c r="H757" s="132">
        <v>-4357209.04</v>
      </c>
      <c r="I757" s="119">
        <v>1140</v>
      </c>
      <c r="J757" s="99">
        <f>Tabla3[[#This Row],[EGRESOS]]/Tabla3[[#This Row],[TC]]</f>
        <v>0.99836842105263168</v>
      </c>
      <c r="K757" s="99">
        <f>Tabla3[[#This Row],[INGRESOS]]/Tabla3[[#This Row],[TC]]</f>
        <v>0</v>
      </c>
      <c r="L757" s="7" t="s">
        <v>303</v>
      </c>
      <c r="M757" s="7" t="s">
        <v>304</v>
      </c>
      <c r="N757" s="7" t="s">
        <v>20</v>
      </c>
      <c r="O757" s="7" t="s">
        <v>184</v>
      </c>
      <c r="P757" s="7" t="s">
        <v>187</v>
      </c>
      <c r="Q757" s="7" t="s">
        <v>188</v>
      </c>
      <c r="R757" s="7" t="s">
        <v>317</v>
      </c>
      <c r="S757" s="7"/>
      <c r="T757" s="7"/>
      <c r="U757" s="7" t="s">
        <v>261</v>
      </c>
      <c r="V757" s="7"/>
      <c r="W757" s="7" t="s">
        <v>306</v>
      </c>
      <c r="X757" s="7" t="s">
        <v>98</v>
      </c>
      <c r="Y757" s="7" t="s">
        <v>23</v>
      </c>
    </row>
    <row r="758" spans="1:25" x14ac:dyDescent="0.25">
      <c r="A758" s="256" t="s">
        <v>225</v>
      </c>
      <c r="B758" s="257">
        <v>45707</v>
      </c>
      <c r="C758" s="250" t="s">
        <v>561</v>
      </c>
      <c r="D758" s="250" t="s">
        <v>606</v>
      </c>
      <c r="E758" s="262">
        <v>421560</v>
      </c>
      <c r="F758" s="258">
        <v>0</v>
      </c>
      <c r="G758" s="276">
        <f>Tabla3[[#This Row],[INGRESOS]]-Tabla3[[#This Row],[EGRESOS]]</f>
        <v>-421560</v>
      </c>
      <c r="H758" s="132">
        <v>-4778769.04</v>
      </c>
      <c r="I758" s="119">
        <v>1140</v>
      </c>
      <c r="J758" s="99">
        <f>Tabla3[[#This Row],[EGRESOS]]/Tabla3[[#This Row],[TC]]</f>
        <v>369.78947368421052</v>
      </c>
      <c r="K758" s="99">
        <f>Tabla3[[#This Row],[INGRESOS]]/Tabla3[[#This Row],[TC]]</f>
        <v>0</v>
      </c>
      <c r="L758" s="7" t="s">
        <v>303</v>
      </c>
      <c r="M758" s="7" t="s">
        <v>304</v>
      </c>
      <c r="N758" s="7" t="s">
        <v>20</v>
      </c>
      <c r="O758" s="7" t="s">
        <v>742</v>
      </c>
      <c r="P758" s="7" t="s">
        <v>220</v>
      </c>
      <c r="Q758" s="7" t="s">
        <v>222</v>
      </c>
      <c r="R758" s="7"/>
      <c r="S758" s="7" t="s">
        <v>529</v>
      </c>
      <c r="T758" s="7" t="s">
        <v>607</v>
      </c>
      <c r="U758" s="7" t="s">
        <v>258</v>
      </c>
      <c r="V758" s="7"/>
      <c r="W758" s="7" t="s">
        <v>306</v>
      </c>
      <c r="X758" s="7" t="s">
        <v>49</v>
      </c>
      <c r="Y758" s="7" t="s">
        <v>23</v>
      </c>
    </row>
    <row r="759" spans="1:25" hidden="1" x14ac:dyDescent="0.25">
      <c r="A759" s="256" t="s">
        <v>225</v>
      </c>
      <c r="B759" s="257">
        <v>45707</v>
      </c>
      <c r="C759" s="250" t="s">
        <v>566</v>
      </c>
      <c r="D759" s="250"/>
      <c r="E759" s="262">
        <v>4345</v>
      </c>
      <c r="F759" s="258">
        <v>0</v>
      </c>
      <c r="G759" s="276">
        <f>Tabla3[[#This Row],[INGRESOS]]-Tabla3[[#This Row],[EGRESOS]]</f>
        <v>-4345</v>
      </c>
      <c r="H759" s="132">
        <v>-4783114.04</v>
      </c>
      <c r="I759" s="119">
        <v>1140</v>
      </c>
      <c r="J759" s="99">
        <f>Tabla3[[#This Row],[EGRESOS]]/Tabla3[[#This Row],[TC]]</f>
        <v>3.8114035087719298</v>
      </c>
      <c r="K759" s="99">
        <f>Tabla3[[#This Row],[INGRESOS]]/Tabla3[[#This Row],[TC]]</f>
        <v>0</v>
      </c>
      <c r="L759" s="7" t="s">
        <v>303</v>
      </c>
      <c r="M759" s="7" t="s">
        <v>304</v>
      </c>
      <c r="N759" s="7" t="s">
        <v>20</v>
      </c>
      <c r="O759" s="7" t="s">
        <v>184</v>
      </c>
      <c r="P759" s="7" t="s">
        <v>185</v>
      </c>
      <c r="Q759" s="7" t="s">
        <v>227</v>
      </c>
      <c r="R759" s="7"/>
      <c r="S759" s="7"/>
      <c r="T759" s="7"/>
      <c r="U759" s="7" t="s">
        <v>261</v>
      </c>
      <c r="V759" s="7"/>
      <c r="W759" s="7" t="s">
        <v>306</v>
      </c>
      <c r="X759" s="7" t="s">
        <v>98</v>
      </c>
      <c r="Y759" s="7" t="s">
        <v>23</v>
      </c>
    </row>
    <row r="760" spans="1:25" hidden="1" x14ac:dyDescent="0.25">
      <c r="A760" s="256" t="s">
        <v>225</v>
      </c>
      <c r="B760" s="257">
        <v>45707</v>
      </c>
      <c r="C760" s="250" t="s">
        <v>637</v>
      </c>
      <c r="D760" s="250"/>
      <c r="E760" s="262">
        <v>2555.4299999999998</v>
      </c>
      <c r="F760" s="258">
        <v>0</v>
      </c>
      <c r="G760" s="276">
        <f>Tabla3[[#This Row],[INGRESOS]]-Tabla3[[#This Row],[EGRESOS]]</f>
        <v>-2555.4299999999998</v>
      </c>
      <c r="H760" s="132">
        <v>-4785669.47</v>
      </c>
      <c r="I760" s="119">
        <v>1140</v>
      </c>
      <c r="J760" s="99">
        <f>Tabla3[[#This Row],[EGRESOS]]/Tabla3[[#This Row],[TC]]</f>
        <v>2.2416052631578944</v>
      </c>
      <c r="K760" s="99">
        <f>Tabla3[[#This Row],[INGRESOS]]/Tabla3[[#This Row],[TC]]</f>
        <v>0</v>
      </c>
      <c r="L760" s="7" t="s">
        <v>303</v>
      </c>
      <c r="M760" s="7" t="s">
        <v>304</v>
      </c>
      <c r="N760" s="7" t="s">
        <v>20</v>
      </c>
      <c r="O760" s="7" t="s">
        <v>184</v>
      </c>
      <c r="P760" s="7" t="s">
        <v>187</v>
      </c>
      <c r="Q760" s="7" t="s">
        <v>188</v>
      </c>
      <c r="R760" s="7" t="s">
        <v>317</v>
      </c>
      <c r="S760" s="7"/>
      <c r="T760" s="7"/>
      <c r="U760" s="7" t="s">
        <v>261</v>
      </c>
      <c r="V760" s="7"/>
      <c r="W760" s="7" t="s">
        <v>306</v>
      </c>
      <c r="X760" s="7" t="s">
        <v>98</v>
      </c>
      <c r="Y760" s="7" t="s">
        <v>23</v>
      </c>
    </row>
    <row r="761" spans="1:25" x14ac:dyDescent="0.25">
      <c r="A761" s="256" t="s">
        <v>225</v>
      </c>
      <c r="B761" s="257">
        <v>45709</v>
      </c>
      <c r="C761" s="250" t="s">
        <v>521</v>
      </c>
      <c r="D761" s="250" t="s">
        <v>608</v>
      </c>
      <c r="E761" s="262">
        <v>392000</v>
      </c>
      <c r="F761" s="258">
        <v>0</v>
      </c>
      <c r="G761" s="276">
        <f>Tabla3[[#This Row],[INGRESOS]]-Tabla3[[#This Row],[EGRESOS]]</f>
        <v>-392000</v>
      </c>
      <c r="H761" s="132">
        <v>-5177669.47</v>
      </c>
      <c r="I761" s="119">
        <v>1140</v>
      </c>
      <c r="J761" s="99">
        <f>Tabla3[[#This Row],[EGRESOS]]/Tabla3[[#This Row],[TC]]</f>
        <v>343.85964912280701</v>
      </c>
      <c r="K761" s="99">
        <f>Tabla3[[#This Row],[INGRESOS]]/Tabla3[[#This Row],[TC]]</f>
        <v>0</v>
      </c>
      <c r="L761" s="7" t="s">
        <v>303</v>
      </c>
      <c r="M761" s="7" t="s">
        <v>304</v>
      </c>
      <c r="N761" s="7" t="s">
        <v>20</v>
      </c>
      <c r="O761" s="7" t="s">
        <v>742</v>
      </c>
      <c r="P761" s="7" t="s">
        <v>220</v>
      </c>
      <c r="Q761" s="7" t="s">
        <v>199</v>
      </c>
      <c r="R761" s="7" t="s">
        <v>226</v>
      </c>
      <c r="S761" s="7" t="s">
        <v>548</v>
      </c>
      <c r="T761" s="7" t="s">
        <v>609</v>
      </c>
      <c r="U761" s="7" t="s">
        <v>258</v>
      </c>
      <c r="V761" s="7"/>
      <c r="W761" s="7" t="s">
        <v>306</v>
      </c>
      <c r="X761" s="7" t="s">
        <v>49</v>
      </c>
      <c r="Y761" s="7" t="s">
        <v>23</v>
      </c>
    </row>
    <row r="762" spans="1:25" hidden="1" x14ac:dyDescent="0.25">
      <c r="A762" s="256" t="s">
        <v>225</v>
      </c>
      <c r="B762" s="257">
        <v>45709</v>
      </c>
      <c r="C762" s="250" t="s">
        <v>637</v>
      </c>
      <c r="D762" s="250"/>
      <c r="E762" s="262">
        <v>2352</v>
      </c>
      <c r="F762" s="258">
        <v>0</v>
      </c>
      <c r="G762" s="276">
        <f>Tabla3[[#This Row],[INGRESOS]]-Tabla3[[#This Row],[EGRESOS]]</f>
        <v>-2352</v>
      </c>
      <c r="H762" s="132">
        <v>-5180021.47</v>
      </c>
      <c r="I762" s="119">
        <v>1140</v>
      </c>
      <c r="J762" s="99">
        <f>Tabla3[[#This Row],[EGRESOS]]/Tabla3[[#This Row],[TC]]</f>
        <v>2.0631578947368423</v>
      </c>
      <c r="K762" s="99">
        <f>Tabla3[[#This Row],[INGRESOS]]/Tabla3[[#This Row],[TC]]</f>
        <v>0</v>
      </c>
      <c r="L762" s="7" t="s">
        <v>303</v>
      </c>
      <c r="M762" s="7" t="s">
        <v>304</v>
      </c>
      <c r="N762" s="7" t="s">
        <v>20</v>
      </c>
      <c r="O762" s="7" t="s">
        <v>184</v>
      </c>
      <c r="P762" s="7" t="s">
        <v>187</v>
      </c>
      <c r="Q762" s="7" t="s">
        <v>188</v>
      </c>
      <c r="R762" s="7" t="s">
        <v>317</v>
      </c>
      <c r="S762" s="7"/>
      <c r="T762" s="7"/>
      <c r="U762" s="7" t="s">
        <v>261</v>
      </c>
      <c r="V762" s="7"/>
      <c r="W762" s="7" t="s">
        <v>306</v>
      </c>
      <c r="X762" s="7" t="s">
        <v>98</v>
      </c>
      <c r="Y762" s="7" t="s">
        <v>23</v>
      </c>
    </row>
    <row r="763" spans="1:25" hidden="1" x14ac:dyDescent="0.25">
      <c r="A763" s="256" t="s">
        <v>225</v>
      </c>
      <c r="B763" s="257">
        <v>45712</v>
      </c>
      <c r="C763" s="250" t="s">
        <v>521</v>
      </c>
      <c r="D763" s="250" t="s">
        <v>610</v>
      </c>
      <c r="E763" s="262">
        <v>340000</v>
      </c>
      <c r="F763" s="258">
        <v>0</v>
      </c>
      <c r="G763" s="276">
        <f>Tabla3[[#This Row],[INGRESOS]]-Tabla3[[#This Row],[EGRESOS]]</f>
        <v>-340000</v>
      </c>
      <c r="H763" s="132">
        <v>-5520021.4699999997</v>
      </c>
      <c r="I763" s="119">
        <v>1140</v>
      </c>
      <c r="J763" s="99">
        <f>Tabla3[[#This Row],[EGRESOS]]/Tabla3[[#This Row],[TC]]</f>
        <v>298.24561403508773</v>
      </c>
      <c r="K763" s="99">
        <f>Tabla3[[#This Row],[INGRESOS]]/Tabla3[[#This Row],[TC]]</f>
        <v>0</v>
      </c>
      <c r="L763" s="7" t="s">
        <v>303</v>
      </c>
      <c r="M763" s="7" t="s">
        <v>304</v>
      </c>
      <c r="N763" s="7" t="s">
        <v>20</v>
      </c>
      <c r="O763" s="7" t="s">
        <v>204</v>
      </c>
      <c r="P763" s="7" t="s">
        <v>208</v>
      </c>
      <c r="Q763" s="7" t="s">
        <v>228</v>
      </c>
      <c r="R763" s="7"/>
      <c r="S763" s="7" t="s">
        <v>611</v>
      </c>
      <c r="T763" s="7" t="s">
        <v>612</v>
      </c>
      <c r="U763" s="7" t="s">
        <v>258</v>
      </c>
      <c r="V763" s="7"/>
      <c r="W763" s="7" t="s">
        <v>306</v>
      </c>
      <c r="X763" s="7" t="s">
        <v>49</v>
      </c>
      <c r="Y763" s="7" t="s">
        <v>23</v>
      </c>
    </row>
    <row r="764" spans="1:25" hidden="1" x14ac:dyDescent="0.25">
      <c r="A764" s="256" t="s">
        <v>225</v>
      </c>
      <c r="B764" s="257">
        <v>45712</v>
      </c>
      <c r="C764" s="250" t="s">
        <v>521</v>
      </c>
      <c r="D764" s="250" t="s">
        <v>613</v>
      </c>
      <c r="E764" s="262">
        <v>367727.47</v>
      </c>
      <c r="F764" s="258">
        <v>0</v>
      </c>
      <c r="G764" s="276">
        <f>Tabla3[[#This Row],[INGRESOS]]-Tabla3[[#This Row],[EGRESOS]]</f>
        <v>-367727.47</v>
      </c>
      <c r="H764" s="132">
        <v>-5887748.9400000004</v>
      </c>
      <c r="I764" s="119">
        <v>1140</v>
      </c>
      <c r="J764" s="99">
        <f>Tabla3[[#This Row],[EGRESOS]]/Tabla3[[#This Row],[TC]]</f>
        <v>322.56795614035087</v>
      </c>
      <c r="K764" s="99">
        <f>Tabla3[[#This Row],[INGRESOS]]/Tabla3[[#This Row],[TC]]</f>
        <v>0</v>
      </c>
      <c r="L764" s="7" t="s">
        <v>303</v>
      </c>
      <c r="M764" s="7" t="s">
        <v>304</v>
      </c>
      <c r="N764" s="7" t="s">
        <v>20</v>
      </c>
      <c r="O764" s="7" t="s">
        <v>204</v>
      </c>
      <c r="P764" s="7" t="s">
        <v>205</v>
      </c>
      <c r="Q764" s="7" t="s">
        <v>206</v>
      </c>
      <c r="R764" s="7" t="s">
        <v>614</v>
      </c>
      <c r="S764" s="7" t="s">
        <v>462</v>
      </c>
      <c r="T764" s="7" t="s">
        <v>615</v>
      </c>
      <c r="U764" s="7" t="s">
        <v>258</v>
      </c>
      <c r="V764" s="7"/>
      <c r="W764" s="7" t="s">
        <v>306</v>
      </c>
      <c r="X764" s="7" t="s">
        <v>49</v>
      </c>
      <c r="Y764" s="7" t="s">
        <v>23</v>
      </c>
    </row>
    <row r="765" spans="1:25" x14ac:dyDescent="0.25">
      <c r="A765" s="256" t="s">
        <v>225</v>
      </c>
      <c r="B765" s="257">
        <v>45712</v>
      </c>
      <c r="C765" s="250" t="s">
        <v>521</v>
      </c>
      <c r="D765" s="250" t="s">
        <v>616</v>
      </c>
      <c r="E765" s="262">
        <v>341890.4</v>
      </c>
      <c r="F765" s="258">
        <v>0</v>
      </c>
      <c r="G765" s="276">
        <f>Tabla3[[#This Row],[INGRESOS]]-Tabla3[[#This Row],[EGRESOS]]</f>
        <v>-341890.4</v>
      </c>
      <c r="H765" s="132">
        <v>-6229639.3399999999</v>
      </c>
      <c r="I765" s="119">
        <v>1140</v>
      </c>
      <c r="J765" s="99">
        <f>Tabla3[[#This Row],[EGRESOS]]/Tabla3[[#This Row],[TC]]</f>
        <v>299.90385964912281</v>
      </c>
      <c r="K765" s="99">
        <f>Tabla3[[#This Row],[INGRESOS]]/Tabla3[[#This Row],[TC]]</f>
        <v>0</v>
      </c>
      <c r="L765" s="7" t="s">
        <v>303</v>
      </c>
      <c r="M765" s="7" t="s">
        <v>304</v>
      </c>
      <c r="N765" s="7" t="s">
        <v>20</v>
      </c>
      <c r="O765" s="7" t="s">
        <v>742</v>
      </c>
      <c r="P765" s="7" t="s">
        <v>220</v>
      </c>
      <c r="Q765" s="7" t="s">
        <v>231</v>
      </c>
      <c r="R765" s="7" t="s">
        <v>142</v>
      </c>
      <c r="S765" s="7" t="s">
        <v>588</v>
      </c>
      <c r="T765" s="7" t="s">
        <v>617</v>
      </c>
      <c r="U765" s="7" t="s">
        <v>258</v>
      </c>
      <c r="V765" s="7"/>
      <c r="W765" s="7" t="s">
        <v>306</v>
      </c>
      <c r="X765" s="7" t="s">
        <v>49</v>
      </c>
      <c r="Y765" s="7" t="s">
        <v>23</v>
      </c>
    </row>
    <row r="766" spans="1:25" hidden="1" x14ac:dyDescent="0.25">
      <c r="A766" s="256" t="s">
        <v>225</v>
      </c>
      <c r="B766" s="257">
        <v>45712</v>
      </c>
      <c r="C766" s="250" t="s">
        <v>535</v>
      </c>
      <c r="D766" s="250"/>
      <c r="E766" s="262">
        <v>0</v>
      </c>
      <c r="F766" s="258">
        <v>500000</v>
      </c>
      <c r="G766" s="276">
        <f>Tabla3[[#This Row],[INGRESOS]]-Tabla3[[#This Row],[EGRESOS]]</f>
        <v>500000</v>
      </c>
      <c r="H766" s="132">
        <v>-5729639.3399999999</v>
      </c>
      <c r="I766" s="119">
        <v>1140</v>
      </c>
      <c r="J766" s="99">
        <f>Tabla3[[#This Row],[EGRESOS]]/Tabla3[[#This Row],[TC]]</f>
        <v>0</v>
      </c>
      <c r="K766" s="99">
        <f>Tabla3[[#This Row],[INGRESOS]]/Tabla3[[#This Row],[TC]]</f>
        <v>438.59649122807019</v>
      </c>
      <c r="L766" s="7" t="s">
        <v>303</v>
      </c>
      <c r="M766" s="7" t="s">
        <v>304</v>
      </c>
      <c r="N766" s="7" t="s">
        <v>20</v>
      </c>
      <c r="O766" s="7" t="s">
        <v>214</v>
      </c>
      <c r="P766" s="7" t="s">
        <v>216</v>
      </c>
      <c r="Q766" s="7" t="s">
        <v>217</v>
      </c>
      <c r="R766" s="7" t="s">
        <v>914</v>
      </c>
      <c r="S766" s="7"/>
      <c r="T766" s="7"/>
      <c r="U766" s="7" t="s">
        <v>262</v>
      </c>
      <c r="V766" s="7"/>
      <c r="W766" s="7" t="s">
        <v>306</v>
      </c>
      <c r="X766" s="7"/>
      <c r="Y766" s="7"/>
    </row>
    <row r="767" spans="1:25" hidden="1" x14ac:dyDescent="0.25">
      <c r="A767" s="256" t="s">
        <v>225</v>
      </c>
      <c r="B767" s="257">
        <v>45712</v>
      </c>
      <c r="C767" s="250" t="s">
        <v>507</v>
      </c>
      <c r="D767" s="250"/>
      <c r="E767" s="262">
        <v>2741.13</v>
      </c>
      <c r="F767" s="258">
        <v>0</v>
      </c>
      <c r="G767" s="276">
        <f>Tabla3[[#This Row],[INGRESOS]]-Tabla3[[#This Row],[EGRESOS]]</f>
        <v>-2741.13</v>
      </c>
      <c r="H767" s="132">
        <v>-5732380.4699999997</v>
      </c>
      <c r="I767" s="119">
        <v>1140</v>
      </c>
      <c r="J767" s="99">
        <f>Tabla3[[#This Row],[EGRESOS]]/Tabla3[[#This Row],[TC]]</f>
        <v>2.4045000000000001</v>
      </c>
      <c r="K767" s="99">
        <f>Tabla3[[#This Row],[INGRESOS]]/Tabla3[[#This Row],[TC]]</f>
        <v>0</v>
      </c>
      <c r="L767" s="7" t="s">
        <v>303</v>
      </c>
      <c r="M767" s="7" t="s">
        <v>304</v>
      </c>
      <c r="N767" s="7" t="s">
        <v>20</v>
      </c>
      <c r="O767" s="7" t="s">
        <v>184</v>
      </c>
      <c r="P767" s="7" t="s">
        <v>187</v>
      </c>
      <c r="Q767" s="7" t="s">
        <v>188</v>
      </c>
      <c r="R767" s="7" t="s">
        <v>308</v>
      </c>
      <c r="S767" s="7"/>
      <c r="T767" s="7"/>
      <c r="U767" s="7" t="s">
        <v>261</v>
      </c>
      <c r="V767" s="7"/>
      <c r="W767" s="7" t="s">
        <v>306</v>
      </c>
      <c r="X767" s="7" t="s">
        <v>98</v>
      </c>
      <c r="Y767" s="7" t="s">
        <v>23</v>
      </c>
    </row>
    <row r="768" spans="1:25" hidden="1" x14ac:dyDescent="0.25">
      <c r="A768" s="256" t="s">
        <v>225</v>
      </c>
      <c r="B768" s="257">
        <v>45712</v>
      </c>
      <c r="C768" s="250" t="s">
        <v>508</v>
      </c>
      <c r="D768" s="250"/>
      <c r="E768" s="262">
        <v>391.59</v>
      </c>
      <c r="F768" s="258">
        <v>0</v>
      </c>
      <c r="G768" s="276">
        <f>Tabla3[[#This Row],[INGRESOS]]-Tabla3[[#This Row],[EGRESOS]]</f>
        <v>-391.59</v>
      </c>
      <c r="H768" s="132">
        <v>-5732772.0599999996</v>
      </c>
      <c r="I768" s="119">
        <v>1140</v>
      </c>
      <c r="J768" s="99">
        <f>Tabla3[[#This Row],[EGRESOS]]/Tabla3[[#This Row],[TC]]</f>
        <v>0.34349999999999997</v>
      </c>
      <c r="K768" s="99">
        <f>Tabla3[[#This Row],[INGRESOS]]/Tabla3[[#This Row],[TC]]</f>
        <v>0</v>
      </c>
      <c r="L768" s="7" t="s">
        <v>303</v>
      </c>
      <c r="M768" s="7" t="s">
        <v>304</v>
      </c>
      <c r="N768" s="7" t="s">
        <v>20</v>
      </c>
      <c r="O768" s="7" t="s">
        <v>184</v>
      </c>
      <c r="P768" s="7" t="s">
        <v>187</v>
      </c>
      <c r="Q768" s="7" t="s">
        <v>188</v>
      </c>
      <c r="R768" s="7" t="s">
        <v>334</v>
      </c>
      <c r="S768" s="7"/>
      <c r="T768" s="7"/>
      <c r="U768" s="7" t="s">
        <v>261</v>
      </c>
      <c r="V768" s="7"/>
      <c r="W768" s="7" t="s">
        <v>306</v>
      </c>
      <c r="X768" s="7" t="s">
        <v>98</v>
      </c>
      <c r="Y768" s="7" t="s">
        <v>23</v>
      </c>
    </row>
    <row r="769" spans="1:25" hidden="1" x14ac:dyDescent="0.25">
      <c r="A769" s="256" t="s">
        <v>225</v>
      </c>
      <c r="B769" s="257">
        <v>45712</v>
      </c>
      <c r="C769" s="250" t="s">
        <v>536</v>
      </c>
      <c r="D769" s="250"/>
      <c r="E769" s="262">
        <v>13053</v>
      </c>
      <c r="F769" s="258">
        <v>0</v>
      </c>
      <c r="G769" s="276">
        <f>Tabla3[[#This Row],[INGRESOS]]-Tabla3[[#This Row],[EGRESOS]]</f>
        <v>-13053</v>
      </c>
      <c r="H769" s="132">
        <v>-5745825.0599999996</v>
      </c>
      <c r="I769" s="119">
        <v>1140</v>
      </c>
      <c r="J769" s="99">
        <f>Tabla3[[#This Row],[EGRESOS]]/Tabla3[[#This Row],[TC]]</f>
        <v>11.45</v>
      </c>
      <c r="K769" s="99">
        <f>Tabla3[[#This Row],[INGRESOS]]/Tabla3[[#This Row],[TC]]</f>
        <v>0</v>
      </c>
      <c r="L769" s="7" t="s">
        <v>303</v>
      </c>
      <c r="M769" s="7" t="s">
        <v>304</v>
      </c>
      <c r="N769" s="7" t="s">
        <v>20</v>
      </c>
      <c r="O769" s="7" t="s">
        <v>184</v>
      </c>
      <c r="P769" s="7" t="s">
        <v>185</v>
      </c>
      <c r="Q769" s="7" t="s">
        <v>186</v>
      </c>
      <c r="R769" s="7"/>
      <c r="S769" s="7"/>
      <c r="T769" s="7"/>
      <c r="U769" s="7" t="s">
        <v>261</v>
      </c>
      <c r="V769" s="7"/>
      <c r="W769" s="7" t="s">
        <v>306</v>
      </c>
      <c r="X769" s="7" t="s">
        <v>98</v>
      </c>
      <c r="Y769" s="7" t="s">
        <v>23</v>
      </c>
    </row>
    <row r="770" spans="1:25" hidden="1" x14ac:dyDescent="0.25">
      <c r="A770" s="256" t="s">
        <v>225</v>
      </c>
      <c r="B770" s="257">
        <v>45712</v>
      </c>
      <c r="C770" s="250" t="s">
        <v>637</v>
      </c>
      <c r="D770" s="250"/>
      <c r="E770" s="262">
        <v>6394.81</v>
      </c>
      <c r="F770" s="258">
        <v>0</v>
      </c>
      <c r="G770" s="276">
        <f>Tabla3[[#This Row],[INGRESOS]]-Tabla3[[#This Row],[EGRESOS]]</f>
        <v>-6394.81</v>
      </c>
      <c r="H770" s="132">
        <v>-5752219.8700000001</v>
      </c>
      <c r="I770" s="119">
        <v>1140</v>
      </c>
      <c r="J770" s="99">
        <f>Tabla3[[#This Row],[EGRESOS]]/Tabla3[[#This Row],[TC]]</f>
        <v>5.6094824561403511</v>
      </c>
      <c r="K770" s="99">
        <f>Tabla3[[#This Row],[INGRESOS]]/Tabla3[[#This Row],[TC]]</f>
        <v>0</v>
      </c>
      <c r="L770" s="7" t="s">
        <v>303</v>
      </c>
      <c r="M770" s="7" t="s">
        <v>304</v>
      </c>
      <c r="N770" s="7" t="s">
        <v>20</v>
      </c>
      <c r="O770" s="7" t="s">
        <v>184</v>
      </c>
      <c r="P770" s="7" t="s">
        <v>187</v>
      </c>
      <c r="Q770" s="7" t="s">
        <v>188</v>
      </c>
      <c r="R770" s="7" t="s">
        <v>317</v>
      </c>
      <c r="S770" s="7"/>
      <c r="T770" s="7"/>
      <c r="U770" s="7" t="s">
        <v>261</v>
      </c>
      <c r="V770" s="7"/>
      <c r="W770" s="7" t="s">
        <v>306</v>
      </c>
      <c r="X770" s="7" t="s">
        <v>98</v>
      </c>
      <c r="Y770" s="7" t="s">
        <v>23</v>
      </c>
    </row>
    <row r="771" spans="1:25" hidden="1" x14ac:dyDescent="0.25">
      <c r="A771" s="256" t="s">
        <v>225</v>
      </c>
      <c r="B771" s="257">
        <v>45714</v>
      </c>
      <c r="C771" s="250" t="s">
        <v>521</v>
      </c>
      <c r="D771" s="250" t="s">
        <v>618</v>
      </c>
      <c r="E771" s="262">
        <v>292300</v>
      </c>
      <c r="F771" s="258">
        <v>0</v>
      </c>
      <c r="G771" s="276">
        <f>Tabla3[[#This Row],[INGRESOS]]-Tabla3[[#This Row],[EGRESOS]]</f>
        <v>-292300</v>
      </c>
      <c r="H771" s="132">
        <v>-6044519.8700000001</v>
      </c>
      <c r="I771" s="119">
        <v>1140</v>
      </c>
      <c r="J771" s="99">
        <f>Tabla3[[#This Row],[EGRESOS]]/Tabla3[[#This Row],[TC]]</f>
        <v>256.40350877192981</v>
      </c>
      <c r="K771" s="99">
        <f>Tabla3[[#This Row],[INGRESOS]]/Tabla3[[#This Row],[TC]]</f>
        <v>0</v>
      </c>
      <c r="L771" s="7" t="s">
        <v>303</v>
      </c>
      <c r="M771" s="7" t="s">
        <v>304</v>
      </c>
      <c r="N771" s="7" t="s">
        <v>20</v>
      </c>
      <c r="O771" s="7" t="s">
        <v>214</v>
      </c>
      <c r="P771" s="7" t="s">
        <v>245</v>
      </c>
      <c r="Q771" s="7" t="s">
        <v>232</v>
      </c>
      <c r="R771" s="7"/>
      <c r="S771" s="7" t="s">
        <v>619</v>
      </c>
      <c r="T771" s="7"/>
      <c r="U771" s="7" t="s">
        <v>260</v>
      </c>
      <c r="V771" s="7"/>
      <c r="W771" s="7" t="s">
        <v>306</v>
      </c>
      <c r="X771" s="7" t="s">
        <v>29</v>
      </c>
      <c r="Y771" s="7" t="s">
        <v>23</v>
      </c>
    </row>
    <row r="772" spans="1:25" hidden="1" x14ac:dyDescent="0.25">
      <c r="A772" s="369" t="s">
        <v>225</v>
      </c>
      <c r="B772" s="370">
        <v>45714</v>
      </c>
      <c r="C772" s="371" t="s">
        <v>521</v>
      </c>
      <c r="D772" s="371" t="s">
        <v>620</v>
      </c>
      <c r="E772" s="262">
        <v>1356153.27</v>
      </c>
      <c r="F772" s="372">
        <v>0</v>
      </c>
      <c r="G772" s="373">
        <f>Tabla3[[#This Row],[INGRESOS]]-Tabla3[[#This Row],[EGRESOS]]</f>
        <v>-1356153.27</v>
      </c>
      <c r="H772" s="376">
        <v>-7400673.1399999997</v>
      </c>
      <c r="I772" s="372">
        <v>1140</v>
      </c>
      <c r="J772" s="375">
        <f>Tabla3[[#This Row],[EGRESOS]]/Tabla3[[#This Row],[TC]]</f>
        <v>1189.6081315789475</v>
      </c>
      <c r="K772" s="375">
        <f>Tabla3[[#This Row],[INGRESOS]]/Tabla3[[#This Row],[TC]]</f>
        <v>0</v>
      </c>
      <c r="L772" s="371" t="s">
        <v>303</v>
      </c>
      <c r="M772" s="371" t="s">
        <v>304</v>
      </c>
      <c r="N772" s="371" t="s">
        <v>20</v>
      </c>
      <c r="O772" s="371" t="s">
        <v>197</v>
      </c>
      <c r="P772" s="371" t="s">
        <v>198</v>
      </c>
      <c r="Q772" s="371" t="s">
        <v>201</v>
      </c>
      <c r="R772" s="371" t="s">
        <v>203</v>
      </c>
      <c r="S772" s="371" t="s">
        <v>526</v>
      </c>
      <c r="T772" s="371" t="s">
        <v>621</v>
      </c>
      <c r="U772" s="371" t="s">
        <v>258</v>
      </c>
      <c r="V772" s="371"/>
      <c r="W772" s="371" t="s">
        <v>306</v>
      </c>
      <c r="X772" s="371" t="s">
        <v>29</v>
      </c>
      <c r="Y772" s="371" t="s">
        <v>23</v>
      </c>
    </row>
    <row r="773" spans="1:25" hidden="1" x14ac:dyDescent="0.25">
      <c r="A773" s="256" t="s">
        <v>225</v>
      </c>
      <c r="B773" s="257">
        <v>45714</v>
      </c>
      <c r="C773" s="250" t="s">
        <v>553</v>
      </c>
      <c r="D773" s="250"/>
      <c r="E773" s="262">
        <v>0</v>
      </c>
      <c r="F773" s="258">
        <v>1500000</v>
      </c>
      <c r="G773" s="276">
        <f>Tabla3[[#This Row],[INGRESOS]]-Tabla3[[#This Row],[EGRESOS]]</f>
        <v>1500000</v>
      </c>
      <c r="H773" s="132">
        <v>-5900673.1399999997</v>
      </c>
      <c r="I773" s="119">
        <v>1140</v>
      </c>
      <c r="J773" s="99">
        <f>Tabla3[[#This Row],[EGRESOS]]/Tabla3[[#This Row],[TC]]</f>
        <v>0</v>
      </c>
      <c r="K773" s="99">
        <f>Tabla3[[#This Row],[INGRESOS]]/Tabla3[[#This Row],[TC]]</f>
        <v>1315.7894736842106</v>
      </c>
      <c r="L773" s="7" t="s">
        <v>303</v>
      </c>
      <c r="M773" s="7" t="s">
        <v>304</v>
      </c>
      <c r="N773" s="7" t="s">
        <v>20</v>
      </c>
      <c r="O773" s="7" t="s">
        <v>214</v>
      </c>
      <c r="P773" s="7" t="s">
        <v>216</v>
      </c>
      <c r="Q773" s="7" t="s">
        <v>217</v>
      </c>
      <c r="R773" s="7" t="s">
        <v>360</v>
      </c>
      <c r="S773" s="7"/>
      <c r="T773" s="7"/>
      <c r="U773" s="7" t="s">
        <v>262</v>
      </c>
      <c r="V773" s="7"/>
      <c r="W773" s="7" t="s">
        <v>306</v>
      </c>
      <c r="X773" s="7"/>
      <c r="Y773" s="7"/>
    </row>
    <row r="774" spans="1:25" hidden="1" x14ac:dyDescent="0.25">
      <c r="A774" s="256" t="s">
        <v>225</v>
      </c>
      <c r="B774" s="257">
        <v>45714</v>
      </c>
      <c r="C774" s="250" t="s">
        <v>507</v>
      </c>
      <c r="D774" s="250"/>
      <c r="E774" s="262">
        <v>2741.13</v>
      </c>
      <c r="F774" s="258">
        <v>0</v>
      </c>
      <c r="G774" s="276">
        <f>Tabla3[[#This Row],[INGRESOS]]-Tabla3[[#This Row],[EGRESOS]]</f>
        <v>-2741.13</v>
      </c>
      <c r="H774" s="132">
        <v>-5903414.2699999996</v>
      </c>
      <c r="I774" s="119">
        <v>1140</v>
      </c>
      <c r="J774" s="99">
        <f>Tabla3[[#This Row],[EGRESOS]]/Tabla3[[#This Row],[TC]]</f>
        <v>2.4045000000000001</v>
      </c>
      <c r="K774" s="99">
        <f>Tabla3[[#This Row],[INGRESOS]]/Tabla3[[#This Row],[TC]]</f>
        <v>0</v>
      </c>
      <c r="L774" s="7" t="s">
        <v>303</v>
      </c>
      <c r="M774" s="7" t="s">
        <v>304</v>
      </c>
      <c r="N774" s="7" t="s">
        <v>20</v>
      </c>
      <c r="O774" s="7" t="s">
        <v>184</v>
      </c>
      <c r="P774" s="7" t="s">
        <v>187</v>
      </c>
      <c r="Q774" s="7" t="s">
        <v>188</v>
      </c>
      <c r="R774" s="7" t="s">
        <v>308</v>
      </c>
      <c r="S774" s="7"/>
      <c r="T774" s="7"/>
      <c r="U774" s="7" t="s">
        <v>261</v>
      </c>
      <c r="V774" s="7"/>
      <c r="W774" s="7" t="s">
        <v>306</v>
      </c>
      <c r="X774" s="7" t="s">
        <v>98</v>
      </c>
      <c r="Y774" s="7" t="s">
        <v>23</v>
      </c>
    </row>
    <row r="775" spans="1:25" hidden="1" x14ac:dyDescent="0.25">
      <c r="A775" s="256" t="s">
        <v>225</v>
      </c>
      <c r="B775" s="257">
        <v>45714</v>
      </c>
      <c r="C775" s="250" t="s">
        <v>508</v>
      </c>
      <c r="D775" s="250"/>
      <c r="E775" s="262">
        <v>391.59</v>
      </c>
      <c r="F775" s="258">
        <v>0</v>
      </c>
      <c r="G775" s="276">
        <f>Tabla3[[#This Row],[INGRESOS]]-Tabla3[[#This Row],[EGRESOS]]</f>
        <v>-391.59</v>
      </c>
      <c r="H775" s="132">
        <v>-5903805.8600000003</v>
      </c>
      <c r="I775" s="119">
        <v>1140</v>
      </c>
      <c r="J775" s="99">
        <f>Tabla3[[#This Row],[EGRESOS]]/Tabla3[[#This Row],[TC]]</f>
        <v>0.34349999999999997</v>
      </c>
      <c r="K775" s="99">
        <f>Tabla3[[#This Row],[INGRESOS]]/Tabla3[[#This Row],[TC]]</f>
        <v>0</v>
      </c>
      <c r="L775" s="7" t="s">
        <v>303</v>
      </c>
      <c r="M775" s="7" t="s">
        <v>304</v>
      </c>
      <c r="N775" s="7" t="s">
        <v>20</v>
      </c>
      <c r="O775" s="7" t="s">
        <v>184</v>
      </c>
      <c r="P775" s="7" t="s">
        <v>187</v>
      </c>
      <c r="Q775" s="7" t="s">
        <v>188</v>
      </c>
      <c r="R775" s="7" t="s">
        <v>334</v>
      </c>
      <c r="S775" s="7"/>
      <c r="T775" s="7"/>
      <c r="U775" s="7" t="s">
        <v>261</v>
      </c>
      <c r="V775" s="7"/>
      <c r="W775" s="7" t="s">
        <v>306</v>
      </c>
      <c r="X775" s="7" t="s">
        <v>98</v>
      </c>
      <c r="Y775" s="7" t="s">
        <v>23</v>
      </c>
    </row>
    <row r="776" spans="1:25" hidden="1" x14ac:dyDescent="0.25">
      <c r="A776" s="256" t="s">
        <v>225</v>
      </c>
      <c r="B776" s="257">
        <v>45714</v>
      </c>
      <c r="C776" s="250" t="s">
        <v>536</v>
      </c>
      <c r="D776" s="250"/>
      <c r="E776" s="262">
        <v>13053</v>
      </c>
      <c r="F776" s="258">
        <v>0</v>
      </c>
      <c r="G776" s="276">
        <f>Tabla3[[#This Row],[INGRESOS]]-Tabla3[[#This Row],[EGRESOS]]</f>
        <v>-13053</v>
      </c>
      <c r="H776" s="132">
        <v>-5916858.8600000003</v>
      </c>
      <c r="I776" s="119">
        <v>1140</v>
      </c>
      <c r="J776" s="99">
        <f>Tabla3[[#This Row],[EGRESOS]]/Tabla3[[#This Row],[TC]]</f>
        <v>11.45</v>
      </c>
      <c r="K776" s="99">
        <f>Tabla3[[#This Row],[INGRESOS]]/Tabla3[[#This Row],[TC]]</f>
        <v>0</v>
      </c>
      <c r="L776" s="7" t="s">
        <v>303</v>
      </c>
      <c r="M776" s="7" t="s">
        <v>304</v>
      </c>
      <c r="N776" s="7" t="s">
        <v>20</v>
      </c>
      <c r="O776" s="7" t="s">
        <v>184</v>
      </c>
      <c r="P776" s="7" t="s">
        <v>185</v>
      </c>
      <c r="Q776" s="7" t="s">
        <v>186</v>
      </c>
      <c r="R776" s="7"/>
      <c r="S776" s="7"/>
      <c r="T776" s="7"/>
      <c r="U776" s="7" t="s">
        <v>261</v>
      </c>
      <c r="V776" s="7"/>
      <c r="W776" s="7" t="s">
        <v>306</v>
      </c>
      <c r="X776" s="7" t="s">
        <v>98</v>
      </c>
      <c r="Y776" s="7" t="s">
        <v>23</v>
      </c>
    </row>
    <row r="777" spans="1:25" hidden="1" x14ac:dyDescent="0.25">
      <c r="A777" s="256" t="s">
        <v>225</v>
      </c>
      <c r="B777" s="257">
        <v>45714</v>
      </c>
      <c r="C777" s="250" t="s">
        <v>637</v>
      </c>
      <c r="D777" s="250"/>
      <c r="E777" s="262">
        <v>9987.83</v>
      </c>
      <c r="F777" s="258">
        <v>0</v>
      </c>
      <c r="G777" s="276">
        <f>Tabla3[[#This Row],[INGRESOS]]-Tabla3[[#This Row],[EGRESOS]]</f>
        <v>-9987.83</v>
      </c>
      <c r="H777" s="132">
        <v>-5926846.6900000004</v>
      </c>
      <c r="I777" s="119">
        <v>1140</v>
      </c>
      <c r="J777" s="99">
        <f>Tabla3[[#This Row],[EGRESOS]]/Tabla3[[#This Row],[TC]]</f>
        <v>8.7612543859649126</v>
      </c>
      <c r="K777" s="99">
        <f>Tabla3[[#This Row],[INGRESOS]]/Tabla3[[#This Row],[TC]]</f>
        <v>0</v>
      </c>
      <c r="L777" s="7" t="s">
        <v>303</v>
      </c>
      <c r="M777" s="7" t="s">
        <v>304</v>
      </c>
      <c r="N777" s="7" t="s">
        <v>20</v>
      </c>
      <c r="O777" s="7" t="s">
        <v>184</v>
      </c>
      <c r="P777" s="7" t="s">
        <v>187</v>
      </c>
      <c r="Q777" s="7" t="s">
        <v>188</v>
      </c>
      <c r="R777" s="7" t="s">
        <v>317</v>
      </c>
      <c r="S777" s="7"/>
      <c r="T777" s="7"/>
      <c r="U777" s="7" t="s">
        <v>261</v>
      </c>
      <c r="V777" s="7"/>
      <c r="W777" s="7" t="s">
        <v>306</v>
      </c>
      <c r="X777" s="7" t="s">
        <v>98</v>
      </c>
      <c r="Y777" s="7" t="s">
        <v>23</v>
      </c>
    </row>
    <row r="778" spans="1:25" hidden="1" x14ac:dyDescent="0.25">
      <c r="A778" s="256" t="s">
        <v>225</v>
      </c>
      <c r="B778" s="257">
        <v>45715</v>
      </c>
      <c r="C778" s="250" t="s">
        <v>507</v>
      </c>
      <c r="D778" s="250"/>
      <c r="E778" s="262">
        <v>1739.43</v>
      </c>
      <c r="F778" s="258">
        <v>0</v>
      </c>
      <c r="G778" s="276">
        <f>Tabla3[[#This Row],[INGRESOS]]-Tabla3[[#This Row],[EGRESOS]]</f>
        <v>-1739.43</v>
      </c>
      <c r="H778" s="132">
        <v>-5928586.1200000001</v>
      </c>
      <c r="I778" s="119">
        <v>1140</v>
      </c>
      <c r="J778" s="99">
        <f>Tabla3[[#This Row],[EGRESOS]]/Tabla3[[#This Row],[TC]]</f>
        <v>1.5258157894736843</v>
      </c>
      <c r="K778" s="99">
        <f>Tabla3[[#This Row],[INGRESOS]]/Tabla3[[#This Row],[TC]]</f>
        <v>0</v>
      </c>
      <c r="L778" s="7" t="s">
        <v>303</v>
      </c>
      <c r="M778" s="7" t="s">
        <v>304</v>
      </c>
      <c r="N778" s="7" t="s">
        <v>20</v>
      </c>
      <c r="O778" s="7" t="s">
        <v>184</v>
      </c>
      <c r="P778" s="7" t="s">
        <v>187</v>
      </c>
      <c r="Q778" s="7" t="s">
        <v>188</v>
      </c>
      <c r="R778" s="7" t="s">
        <v>308</v>
      </c>
      <c r="S778" s="7"/>
      <c r="T778" s="7"/>
      <c r="U778" s="7" t="s">
        <v>261</v>
      </c>
      <c r="V778" s="7"/>
      <c r="W778" s="7" t="s">
        <v>306</v>
      </c>
      <c r="X778" s="7" t="s">
        <v>98</v>
      </c>
      <c r="Y778" s="7" t="s">
        <v>23</v>
      </c>
    </row>
    <row r="779" spans="1:25" hidden="1" x14ac:dyDescent="0.25">
      <c r="A779" s="256" t="s">
        <v>225</v>
      </c>
      <c r="B779" s="257">
        <v>45715</v>
      </c>
      <c r="C779" s="250" t="s">
        <v>508</v>
      </c>
      <c r="D779" s="250"/>
      <c r="E779" s="262">
        <v>248.49</v>
      </c>
      <c r="F779" s="258">
        <v>0</v>
      </c>
      <c r="G779" s="276">
        <f>Tabla3[[#This Row],[INGRESOS]]-Tabla3[[#This Row],[EGRESOS]]</f>
        <v>-248.49</v>
      </c>
      <c r="H779" s="132">
        <v>-5928834.6100000003</v>
      </c>
      <c r="I779" s="119">
        <v>1140</v>
      </c>
      <c r="J779" s="99">
        <f>Tabla3[[#This Row],[EGRESOS]]/Tabla3[[#This Row],[TC]]</f>
        <v>0.21797368421052632</v>
      </c>
      <c r="K779" s="99">
        <f>Tabla3[[#This Row],[INGRESOS]]/Tabla3[[#This Row],[TC]]</f>
        <v>0</v>
      </c>
      <c r="L779" s="7" t="s">
        <v>303</v>
      </c>
      <c r="M779" s="7" t="s">
        <v>304</v>
      </c>
      <c r="N779" s="7" t="s">
        <v>20</v>
      </c>
      <c r="O779" s="7" t="s">
        <v>184</v>
      </c>
      <c r="P779" s="7" t="s">
        <v>187</v>
      </c>
      <c r="Q779" s="7" t="s">
        <v>188</v>
      </c>
      <c r="R779" s="7" t="s">
        <v>334</v>
      </c>
      <c r="S779" s="7"/>
      <c r="T779" s="7"/>
      <c r="U779" s="7" t="s">
        <v>261</v>
      </c>
      <c r="V779" s="7"/>
      <c r="W779" s="7" t="s">
        <v>306</v>
      </c>
      <c r="X779" s="7" t="s">
        <v>98</v>
      </c>
      <c r="Y779" s="7" t="s">
        <v>23</v>
      </c>
    </row>
    <row r="780" spans="1:25" hidden="1" x14ac:dyDescent="0.25">
      <c r="A780" s="256" t="s">
        <v>225</v>
      </c>
      <c r="B780" s="257">
        <v>45715</v>
      </c>
      <c r="C780" s="250" t="s">
        <v>580</v>
      </c>
      <c r="D780" s="250"/>
      <c r="E780" s="262">
        <v>8283</v>
      </c>
      <c r="F780" s="258">
        <v>0</v>
      </c>
      <c r="G780" s="276">
        <f>Tabla3[[#This Row],[INGRESOS]]-Tabla3[[#This Row],[EGRESOS]]</f>
        <v>-8283</v>
      </c>
      <c r="H780" s="132">
        <v>-5937117.6100000003</v>
      </c>
      <c r="I780" s="119">
        <v>1140</v>
      </c>
      <c r="J780" s="99">
        <f>Tabla3[[#This Row],[EGRESOS]]/Tabla3[[#This Row],[TC]]</f>
        <v>7.2657894736842108</v>
      </c>
      <c r="K780" s="99">
        <f>Tabla3[[#This Row],[INGRESOS]]/Tabla3[[#This Row],[TC]]</f>
        <v>0</v>
      </c>
      <c r="L780" s="7" t="s">
        <v>303</v>
      </c>
      <c r="M780" s="7" t="s">
        <v>304</v>
      </c>
      <c r="N780" s="7" t="s">
        <v>20</v>
      </c>
      <c r="O780" s="7" t="s">
        <v>184</v>
      </c>
      <c r="P780" s="7" t="s">
        <v>185</v>
      </c>
      <c r="Q780" s="7" t="s">
        <v>186</v>
      </c>
      <c r="R780" s="7"/>
      <c r="S780" s="7"/>
      <c r="T780" s="7"/>
      <c r="U780" s="7" t="s">
        <v>261</v>
      </c>
      <c r="V780" s="7"/>
      <c r="W780" s="7" t="s">
        <v>306</v>
      </c>
      <c r="X780" s="7" t="s">
        <v>98</v>
      </c>
      <c r="Y780" s="7" t="s">
        <v>23</v>
      </c>
    </row>
    <row r="781" spans="1:25" hidden="1" x14ac:dyDescent="0.25">
      <c r="A781" s="256" t="s">
        <v>225</v>
      </c>
      <c r="B781" s="257">
        <v>45715</v>
      </c>
      <c r="C781" s="250" t="s">
        <v>637</v>
      </c>
      <c r="D781" s="250"/>
      <c r="E781" s="262">
        <v>61.63</v>
      </c>
      <c r="F781" s="258">
        <v>0</v>
      </c>
      <c r="G781" s="276">
        <f>Tabla3[[#This Row],[INGRESOS]]-Tabla3[[#This Row],[EGRESOS]]</f>
        <v>-61.63</v>
      </c>
      <c r="H781" s="132">
        <v>-5937179.2400000002</v>
      </c>
      <c r="I781" s="119">
        <v>1140</v>
      </c>
      <c r="J781" s="99">
        <f>Tabla3[[#This Row],[EGRESOS]]/Tabla3[[#This Row],[TC]]</f>
        <v>5.4061403508771935E-2</v>
      </c>
      <c r="K781" s="99">
        <f>Tabla3[[#This Row],[INGRESOS]]/Tabla3[[#This Row],[TC]]</f>
        <v>0</v>
      </c>
      <c r="L781" s="7" t="s">
        <v>303</v>
      </c>
      <c r="M781" s="7" t="s">
        <v>304</v>
      </c>
      <c r="N781" s="7" t="s">
        <v>20</v>
      </c>
      <c r="O781" s="7" t="s">
        <v>184</v>
      </c>
      <c r="P781" s="7" t="s">
        <v>187</v>
      </c>
      <c r="Q781" s="7" t="s">
        <v>188</v>
      </c>
      <c r="R781" s="7" t="s">
        <v>317</v>
      </c>
      <c r="S781" s="7"/>
      <c r="T781" s="7"/>
      <c r="U781" s="7" t="s">
        <v>261</v>
      </c>
      <c r="V781" s="7"/>
      <c r="W781" s="7" t="s">
        <v>306</v>
      </c>
      <c r="X781" s="7" t="s">
        <v>98</v>
      </c>
      <c r="Y781" s="7" t="s">
        <v>23</v>
      </c>
    </row>
    <row r="782" spans="1:25" hidden="1" x14ac:dyDescent="0.25">
      <c r="A782" s="283" t="s">
        <v>225</v>
      </c>
      <c r="B782" s="260">
        <v>45715</v>
      </c>
      <c r="C782" s="261" t="s">
        <v>537</v>
      </c>
      <c r="D782" s="261"/>
      <c r="E782" s="262">
        <v>52018.25</v>
      </c>
      <c r="F782" s="262">
        <v>0</v>
      </c>
      <c r="G782" s="285">
        <f>Tabla3[[#This Row],[INGRESOS]]-Tabla3[[#This Row],[EGRESOS]]</f>
        <v>-52018.25</v>
      </c>
      <c r="H782" s="132">
        <v>-5989197.4900000002</v>
      </c>
      <c r="I782" s="135">
        <v>1140</v>
      </c>
      <c r="J782" s="136">
        <f>Tabla3[[#This Row],[EGRESOS]]/Tabla3[[#This Row],[TC]]</f>
        <v>45.63004385964912</v>
      </c>
      <c r="K782" s="136">
        <f>Tabla3[[#This Row],[INGRESOS]]/Tabla3[[#This Row],[TC]]</f>
        <v>0</v>
      </c>
      <c r="L782" s="8" t="s">
        <v>303</v>
      </c>
      <c r="M782" s="8" t="s">
        <v>304</v>
      </c>
      <c r="N782" s="8" t="s">
        <v>20</v>
      </c>
      <c r="O782" s="8" t="s">
        <v>214</v>
      </c>
      <c r="P782" s="8" t="s">
        <v>216</v>
      </c>
      <c r="Q782" s="8" t="s">
        <v>217</v>
      </c>
      <c r="R782" s="8" t="s">
        <v>546</v>
      </c>
      <c r="S782" s="8"/>
      <c r="T782" s="8"/>
      <c r="U782" s="8" t="s">
        <v>262</v>
      </c>
      <c r="V782" s="8"/>
      <c r="W782" s="8" t="s">
        <v>306</v>
      </c>
      <c r="X782" s="8"/>
      <c r="Y782" s="8"/>
    </row>
    <row r="783" spans="1:25" hidden="1" x14ac:dyDescent="0.25">
      <c r="A783" s="256" t="s">
        <v>235</v>
      </c>
      <c r="B783" s="257">
        <v>45721</v>
      </c>
      <c r="C783" s="250" t="s">
        <v>507</v>
      </c>
      <c r="D783" s="250"/>
      <c r="E783" s="262">
        <v>16445.400000000001</v>
      </c>
      <c r="F783" s="258">
        <v>0</v>
      </c>
      <c r="G783" s="276">
        <f>Tabla3[[#This Row],[INGRESOS]]-Tabla3[[#This Row],[EGRESOS]]</f>
        <v>-16445.400000000001</v>
      </c>
      <c r="H783" s="132">
        <v>-6005642.8899999997</v>
      </c>
      <c r="I783" s="119">
        <v>1140</v>
      </c>
      <c r="J783" s="99">
        <f>Tabla3[[#This Row],[EGRESOS]]/Tabla3[[#This Row],[TC]]</f>
        <v>14.425789473684212</v>
      </c>
      <c r="K783" s="99">
        <f>Tabla3[[#This Row],[INGRESOS]]/Tabla3[[#This Row],[TC]]</f>
        <v>0</v>
      </c>
      <c r="L783" s="7" t="s">
        <v>303</v>
      </c>
      <c r="M783" s="7" t="s">
        <v>304</v>
      </c>
      <c r="N783" s="7" t="s">
        <v>20</v>
      </c>
      <c r="O783" s="7" t="s">
        <v>184</v>
      </c>
      <c r="P783" s="7" t="s">
        <v>187</v>
      </c>
      <c r="Q783" s="7" t="s">
        <v>188</v>
      </c>
      <c r="R783" s="7" t="s">
        <v>308</v>
      </c>
      <c r="S783" s="7"/>
      <c r="T783" s="7"/>
      <c r="U783" s="7" t="s">
        <v>261</v>
      </c>
      <c r="V783" s="7"/>
      <c r="W783" s="7" t="s">
        <v>306</v>
      </c>
      <c r="X783" s="7" t="s">
        <v>98</v>
      </c>
      <c r="Y783" s="7" t="s">
        <v>23</v>
      </c>
    </row>
    <row r="784" spans="1:25" hidden="1" x14ac:dyDescent="0.25">
      <c r="A784" s="283" t="s">
        <v>235</v>
      </c>
      <c r="B784" s="260">
        <v>45721</v>
      </c>
      <c r="C784" s="261" t="s">
        <v>508</v>
      </c>
      <c r="D784" s="261"/>
      <c r="E784" s="262">
        <v>2349.34</v>
      </c>
      <c r="F784" s="262">
        <v>0</v>
      </c>
      <c r="G784" s="285">
        <f>Tabla3[[#This Row],[INGRESOS]]-Tabla3[[#This Row],[EGRESOS]]</f>
        <v>-2349.34</v>
      </c>
      <c r="H784" s="132">
        <v>-6007992.2300000004</v>
      </c>
      <c r="I784" s="135">
        <v>1140</v>
      </c>
      <c r="J784" s="136">
        <f>Tabla3[[#This Row],[EGRESOS]]/Tabla3[[#This Row],[TC]]</f>
        <v>2.0608245614035088</v>
      </c>
      <c r="K784" s="136">
        <f>Tabla3[[#This Row],[INGRESOS]]/Tabla3[[#This Row],[TC]]</f>
        <v>0</v>
      </c>
      <c r="L784" s="8" t="s">
        <v>303</v>
      </c>
      <c r="M784" s="8" t="s">
        <v>304</v>
      </c>
      <c r="N784" s="8" t="s">
        <v>20</v>
      </c>
      <c r="O784" s="8" t="s">
        <v>184</v>
      </c>
      <c r="P784" s="8" t="s">
        <v>187</v>
      </c>
      <c r="Q784" s="8" t="s">
        <v>188</v>
      </c>
      <c r="R784" s="8" t="s">
        <v>334</v>
      </c>
      <c r="S784" s="8"/>
      <c r="T784" s="8"/>
      <c r="U784" s="8" t="s">
        <v>261</v>
      </c>
      <c r="V784" s="8"/>
      <c r="W784" s="8" t="s">
        <v>306</v>
      </c>
      <c r="X784" s="8" t="s">
        <v>98</v>
      </c>
      <c r="Y784" s="8" t="s">
        <v>23</v>
      </c>
    </row>
    <row r="785" spans="1:25" hidden="1" x14ac:dyDescent="0.25">
      <c r="A785" s="283" t="s">
        <v>235</v>
      </c>
      <c r="B785" s="260">
        <v>45721</v>
      </c>
      <c r="C785" s="261" t="s">
        <v>518</v>
      </c>
      <c r="D785" s="261"/>
      <c r="E785" s="262">
        <v>156622.82999999999</v>
      </c>
      <c r="F785" s="262">
        <v>0</v>
      </c>
      <c r="G785" s="285">
        <f>Tabla3[[#This Row],[INGRESOS]]-Tabla3[[#This Row],[EGRESOS]]</f>
        <v>-156622.82999999999</v>
      </c>
      <c r="H785" s="132">
        <v>-6164615.0599999996</v>
      </c>
      <c r="I785" s="135">
        <v>1140</v>
      </c>
      <c r="J785" s="136">
        <f>Tabla3[[#This Row],[EGRESOS]]/Tabla3[[#This Row],[TC]]</f>
        <v>137.38844736842105</v>
      </c>
      <c r="K785" s="136">
        <f>Tabla3[[#This Row],[INGRESOS]]/Tabla3[[#This Row],[TC]]</f>
        <v>0</v>
      </c>
      <c r="L785" s="8" t="s">
        <v>303</v>
      </c>
      <c r="M785" s="8" t="s">
        <v>304</v>
      </c>
      <c r="N785" s="8" t="s">
        <v>20</v>
      </c>
      <c r="O785" s="8" t="s">
        <v>184</v>
      </c>
      <c r="P785" s="8" t="s">
        <v>189</v>
      </c>
      <c r="Q785" s="8" t="s">
        <v>190</v>
      </c>
      <c r="R785" s="8"/>
      <c r="S785" s="8"/>
      <c r="T785" s="8"/>
      <c r="U785" s="8" t="s">
        <v>261</v>
      </c>
      <c r="V785" s="8"/>
      <c r="W785" s="8" t="s">
        <v>306</v>
      </c>
      <c r="X785" s="8" t="s">
        <v>98</v>
      </c>
      <c r="Y785" s="8" t="s">
        <v>23</v>
      </c>
    </row>
    <row r="786" spans="1:25" x14ac:dyDescent="0.25">
      <c r="A786" s="283" t="s">
        <v>235</v>
      </c>
      <c r="B786" s="260">
        <v>45721</v>
      </c>
      <c r="C786" s="261" t="s">
        <v>521</v>
      </c>
      <c r="D786" s="261" t="s">
        <v>622</v>
      </c>
      <c r="E786" s="262">
        <v>392000</v>
      </c>
      <c r="F786" s="262">
        <v>0</v>
      </c>
      <c r="G786" s="285">
        <f>Tabla3[[#This Row],[INGRESOS]]-Tabla3[[#This Row],[EGRESOS]]</f>
        <v>-392000</v>
      </c>
      <c r="H786" s="132">
        <v>-6556615.0599999996</v>
      </c>
      <c r="I786" s="135">
        <v>1140</v>
      </c>
      <c r="J786" s="136">
        <f>Tabla3[[#This Row],[EGRESOS]]/Tabla3[[#This Row],[TC]]</f>
        <v>343.85964912280701</v>
      </c>
      <c r="K786" s="136">
        <f>Tabla3[[#This Row],[INGRESOS]]/Tabla3[[#This Row],[TC]]</f>
        <v>0</v>
      </c>
      <c r="L786" s="8" t="s">
        <v>303</v>
      </c>
      <c r="M786" s="8" t="s">
        <v>304</v>
      </c>
      <c r="N786" s="8" t="s">
        <v>20</v>
      </c>
      <c r="O786" s="8" t="s">
        <v>742</v>
      </c>
      <c r="P786" s="8" t="s">
        <v>220</v>
      </c>
      <c r="Q786" s="8" t="s">
        <v>199</v>
      </c>
      <c r="R786" s="8" t="s">
        <v>226</v>
      </c>
      <c r="S786" s="8" t="s">
        <v>548</v>
      </c>
      <c r="T786" s="7" t="s">
        <v>623</v>
      </c>
      <c r="U786" s="8" t="s">
        <v>258</v>
      </c>
      <c r="V786" s="8"/>
      <c r="W786" s="8" t="s">
        <v>306</v>
      </c>
      <c r="X786" s="8" t="s">
        <v>29</v>
      </c>
      <c r="Y786" s="8" t="s">
        <v>23</v>
      </c>
    </row>
    <row r="787" spans="1:25" x14ac:dyDescent="0.25">
      <c r="A787" s="283" t="s">
        <v>235</v>
      </c>
      <c r="B787" s="260">
        <v>45721</v>
      </c>
      <c r="C787" s="261" t="s">
        <v>521</v>
      </c>
      <c r="D787" s="261" t="s">
        <v>624</v>
      </c>
      <c r="E787" s="262">
        <v>1000000</v>
      </c>
      <c r="F787" s="262">
        <v>0</v>
      </c>
      <c r="G787" s="285">
        <f>Tabla3[[#This Row],[INGRESOS]]-Tabla3[[#This Row],[EGRESOS]]</f>
        <v>-1000000</v>
      </c>
      <c r="H787" s="132">
        <v>-7556615.0599999996</v>
      </c>
      <c r="I787" s="135">
        <v>1140</v>
      </c>
      <c r="J787" s="136">
        <f>Tabla3[[#This Row],[EGRESOS]]/Tabla3[[#This Row],[TC]]</f>
        <v>877.19298245614038</v>
      </c>
      <c r="K787" s="136">
        <f>Tabla3[[#This Row],[INGRESOS]]/Tabla3[[#This Row],[TC]]</f>
        <v>0</v>
      </c>
      <c r="L787" s="8" t="s">
        <v>303</v>
      </c>
      <c r="M787" s="8" t="s">
        <v>304</v>
      </c>
      <c r="N787" s="8" t="s">
        <v>20</v>
      </c>
      <c r="O787" s="8" t="s">
        <v>742</v>
      </c>
      <c r="P787" s="8" t="s">
        <v>220</v>
      </c>
      <c r="Q787" s="8" t="s">
        <v>231</v>
      </c>
      <c r="R787" s="8" t="s">
        <v>142</v>
      </c>
      <c r="S787" s="8" t="s">
        <v>625</v>
      </c>
      <c r="T787" s="8"/>
      <c r="U787" s="8" t="s">
        <v>258</v>
      </c>
      <c r="V787" s="8"/>
      <c r="W787" s="8" t="s">
        <v>306</v>
      </c>
      <c r="X787" s="8" t="s">
        <v>29</v>
      </c>
      <c r="Y787" s="8" t="s">
        <v>23</v>
      </c>
    </row>
    <row r="788" spans="1:25" hidden="1" x14ac:dyDescent="0.25">
      <c r="A788" s="283" t="s">
        <v>235</v>
      </c>
      <c r="B788" s="260">
        <v>45721</v>
      </c>
      <c r="C788" s="261" t="s">
        <v>521</v>
      </c>
      <c r="D788" s="261" t="s">
        <v>626</v>
      </c>
      <c r="E788" s="262">
        <v>839778.78</v>
      </c>
      <c r="F788" s="262">
        <v>0</v>
      </c>
      <c r="G788" s="285">
        <f>Tabla3[[#This Row],[INGRESOS]]-Tabla3[[#This Row],[EGRESOS]]</f>
        <v>-839778.78</v>
      </c>
      <c r="H788" s="132">
        <v>-8396393.8399999999</v>
      </c>
      <c r="I788" s="135">
        <v>1140</v>
      </c>
      <c r="J788" s="136">
        <f>Tabla3[[#This Row],[EGRESOS]]/Tabla3[[#This Row],[TC]]</f>
        <v>736.64805263157893</v>
      </c>
      <c r="K788" s="136">
        <f>Tabla3[[#This Row],[INGRESOS]]/Tabla3[[#This Row],[TC]]</f>
        <v>0</v>
      </c>
      <c r="L788" s="8" t="s">
        <v>303</v>
      </c>
      <c r="M788" s="8" t="s">
        <v>304</v>
      </c>
      <c r="N788" s="8" t="s">
        <v>20</v>
      </c>
      <c r="O788" s="8" t="s">
        <v>197</v>
      </c>
      <c r="P788" s="8" t="s">
        <v>198</v>
      </c>
      <c r="Q788" s="8" t="s">
        <v>201</v>
      </c>
      <c r="R788" s="8" t="s">
        <v>203</v>
      </c>
      <c r="S788" s="8" t="s">
        <v>526</v>
      </c>
      <c r="T788" s="8" t="s">
        <v>627</v>
      </c>
      <c r="U788" s="8" t="s">
        <v>258</v>
      </c>
      <c r="V788" s="8"/>
      <c r="W788" s="8" t="s">
        <v>306</v>
      </c>
      <c r="X788" s="8" t="s">
        <v>29</v>
      </c>
      <c r="Y788" s="8" t="s">
        <v>23</v>
      </c>
    </row>
    <row r="789" spans="1:25" hidden="1" x14ac:dyDescent="0.25">
      <c r="A789" s="283" t="s">
        <v>235</v>
      </c>
      <c r="B789" s="260">
        <v>45721</v>
      </c>
      <c r="C789" s="261" t="s">
        <v>553</v>
      </c>
      <c r="D789" s="261"/>
      <c r="E789" s="262">
        <v>0</v>
      </c>
      <c r="F789" s="262">
        <v>300000</v>
      </c>
      <c r="G789" s="285">
        <f>Tabla3[[#This Row],[INGRESOS]]-Tabla3[[#This Row],[EGRESOS]]</f>
        <v>300000</v>
      </c>
      <c r="H789" s="132"/>
      <c r="I789" s="135">
        <v>1140</v>
      </c>
      <c r="J789" s="136">
        <f>Tabla3[[#This Row],[EGRESOS]]/Tabla3[[#This Row],[TC]]</f>
        <v>0</v>
      </c>
      <c r="K789" s="136">
        <f>Tabla3[[#This Row],[INGRESOS]]/Tabla3[[#This Row],[TC]]</f>
        <v>263.15789473684208</v>
      </c>
      <c r="L789" s="8" t="s">
        <v>303</v>
      </c>
      <c r="M789" s="8" t="s">
        <v>304</v>
      </c>
      <c r="N789" s="8" t="s">
        <v>20</v>
      </c>
      <c r="O789" s="8" t="s">
        <v>214</v>
      </c>
      <c r="P789" s="8" t="s">
        <v>216</v>
      </c>
      <c r="Q789" s="8" t="s">
        <v>217</v>
      </c>
      <c r="R789" s="8" t="s">
        <v>360</v>
      </c>
      <c r="S789" s="8"/>
      <c r="T789" s="8"/>
      <c r="U789" s="8" t="s">
        <v>262</v>
      </c>
      <c r="V789" s="8"/>
      <c r="W789" s="8" t="s">
        <v>306</v>
      </c>
      <c r="X789" s="8"/>
      <c r="Y789" s="8"/>
    </row>
    <row r="790" spans="1:25" hidden="1" x14ac:dyDescent="0.25">
      <c r="A790" s="283" t="s">
        <v>235</v>
      </c>
      <c r="B790" s="260">
        <v>45721</v>
      </c>
      <c r="C790" s="261" t="s">
        <v>553</v>
      </c>
      <c r="D790" s="261"/>
      <c r="E790" s="262">
        <v>0</v>
      </c>
      <c r="F790" s="262">
        <v>1400000</v>
      </c>
      <c r="G790" s="285">
        <f>Tabla3[[#This Row],[INGRESOS]]-Tabla3[[#This Row],[EGRESOS]]</f>
        <v>1400000</v>
      </c>
      <c r="H790" s="132">
        <v>-6696393.8399999999</v>
      </c>
      <c r="I790" s="135">
        <v>1140</v>
      </c>
      <c r="J790" s="136">
        <f>Tabla3[[#This Row],[EGRESOS]]/Tabla3[[#This Row],[TC]]</f>
        <v>0</v>
      </c>
      <c r="K790" s="136">
        <f>Tabla3[[#This Row],[INGRESOS]]/Tabla3[[#This Row],[TC]]</f>
        <v>1228.0701754385964</v>
      </c>
      <c r="L790" s="8" t="s">
        <v>303</v>
      </c>
      <c r="M790" s="8" t="s">
        <v>304</v>
      </c>
      <c r="N790" s="8" t="s">
        <v>20</v>
      </c>
      <c r="O790" s="8" t="s">
        <v>214</v>
      </c>
      <c r="P790" s="8" t="s">
        <v>216</v>
      </c>
      <c r="Q790" s="8" t="s">
        <v>217</v>
      </c>
      <c r="R790" s="8" t="s">
        <v>360</v>
      </c>
      <c r="S790" s="8"/>
      <c r="T790" s="8"/>
      <c r="U790" s="8" t="s">
        <v>262</v>
      </c>
      <c r="V790" s="8"/>
      <c r="W790" s="8" t="s">
        <v>306</v>
      </c>
      <c r="X790" s="8"/>
      <c r="Y790" s="8"/>
    </row>
    <row r="791" spans="1:25" hidden="1" x14ac:dyDescent="0.25">
      <c r="A791" s="283" t="s">
        <v>235</v>
      </c>
      <c r="B791" s="260">
        <v>45721</v>
      </c>
      <c r="C791" s="261" t="s">
        <v>535</v>
      </c>
      <c r="D791" s="261"/>
      <c r="E791" s="262">
        <v>0</v>
      </c>
      <c r="F791" s="262">
        <v>90000</v>
      </c>
      <c r="G791" s="285">
        <f>Tabla3[[#This Row],[INGRESOS]]-Tabla3[[#This Row],[EGRESOS]]</f>
        <v>90000</v>
      </c>
      <c r="H791" s="132">
        <v>-6606393.8399999999</v>
      </c>
      <c r="I791" s="135">
        <v>1140</v>
      </c>
      <c r="J791" s="136">
        <f>Tabla3[[#This Row],[EGRESOS]]/Tabla3[[#This Row],[TC]]</f>
        <v>0</v>
      </c>
      <c r="K791" s="136">
        <f>Tabla3[[#This Row],[INGRESOS]]/Tabla3[[#This Row],[TC]]</f>
        <v>78.94736842105263</v>
      </c>
      <c r="L791" s="8" t="s">
        <v>303</v>
      </c>
      <c r="M791" s="8" t="s">
        <v>304</v>
      </c>
      <c r="N791" s="8" t="s">
        <v>20</v>
      </c>
      <c r="O791" s="8" t="s">
        <v>214</v>
      </c>
      <c r="P791" s="8" t="s">
        <v>216</v>
      </c>
      <c r="Q791" s="8" t="s">
        <v>217</v>
      </c>
      <c r="R791" s="8" t="s">
        <v>664</v>
      </c>
      <c r="S791" s="8"/>
      <c r="T791" s="8"/>
      <c r="U791" s="8" t="s">
        <v>262</v>
      </c>
      <c r="V791" s="8"/>
      <c r="W791" s="8" t="s">
        <v>306</v>
      </c>
      <c r="X791" s="8"/>
      <c r="Y791" s="8"/>
    </row>
    <row r="792" spans="1:25" hidden="1" x14ac:dyDescent="0.25">
      <c r="A792" s="283" t="s">
        <v>235</v>
      </c>
      <c r="B792" s="260">
        <v>45721</v>
      </c>
      <c r="C792" s="261" t="s">
        <v>535</v>
      </c>
      <c r="D792" s="261"/>
      <c r="E792" s="262">
        <v>0</v>
      </c>
      <c r="F792" s="262">
        <v>290000</v>
      </c>
      <c r="G792" s="285">
        <f>Tabla3[[#This Row],[INGRESOS]]-Tabla3[[#This Row],[EGRESOS]]</f>
        <v>290000</v>
      </c>
      <c r="H792" s="132">
        <v>-6316393.8399999999</v>
      </c>
      <c r="I792" s="135">
        <v>1140</v>
      </c>
      <c r="J792" s="136">
        <f>Tabla3[[#This Row],[EGRESOS]]/Tabla3[[#This Row],[TC]]</f>
        <v>0</v>
      </c>
      <c r="K792" s="136">
        <f>Tabla3[[#This Row],[INGRESOS]]/Tabla3[[#This Row],[TC]]</f>
        <v>254.38596491228071</v>
      </c>
      <c r="L792" s="8" t="s">
        <v>303</v>
      </c>
      <c r="M792" s="8" t="s">
        <v>304</v>
      </c>
      <c r="N792" s="8" t="s">
        <v>20</v>
      </c>
      <c r="O792" s="8" t="s">
        <v>214</v>
      </c>
      <c r="P792" s="8" t="s">
        <v>216</v>
      </c>
      <c r="Q792" s="8" t="s">
        <v>217</v>
      </c>
      <c r="R792" s="8" t="s">
        <v>914</v>
      </c>
      <c r="S792" s="8"/>
      <c r="T792" s="8"/>
      <c r="U792" s="8" t="s">
        <v>262</v>
      </c>
      <c r="V792" s="8"/>
      <c r="W792" s="8" t="s">
        <v>306</v>
      </c>
      <c r="X792" s="8"/>
      <c r="Y792" s="8"/>
    </row>
    <row r="793" spans="1:25" hidden="1" x14ac:dyDescent="0.25">
      <c r="A793" s="283" t="s">
        <v>235</v>
      </c>
      <c r="B793" s="260">
        <v>45721</v>
      </c>
      <c r="C793" s="261" t="s">
        <v>535</v>
      </c>
      <c r="D793" s="261"/>
      <c r="E793" s="262">
        <v>0</v>
      </c>
      <c r="F793" s="262">
        <v>350000</v>
      </c>
      <c r="G793" s="285">
        <f>Tabla3[[#This Row],[INGRESOS]]-Tabla3[[#This Row],[EGRESOS]]</f>
        <v>350000</v>
      </c>
      <c r="H793" s="132">
        <v>-5966393.8399999999</v>
      </c>
      <c r="I793" s="135">
        <v>1140</v>
      </c>
      <c r="J793" s="136">
        <f>Tabla3[[#This Row],[EGRESOS]]/Tabla3[[#This Row],[TC]]</f>
        <v>0</v>
      </c>
      <c r="K793" s="136">
        <f>Tabla3[[#This Row],[INGRESOS]]/Tabla3[[#This Row],[TC]]</f>
        <v>307.01754385964909</v>
      </c>
      <c r="L793" s="8" t="s">
        <v>303</v>
      </c>
      <c r="M793" s="8" t="s">
        <v>304</v>
      </c>
      <c r="N793" s="8" t="s">
        <v>20</v>
      </c>
      <c r="O793" s="8" t="s">
        <v>214</v>
      </c>
      <c r="P793" s="8" t="s">
        <v>216</v>
      </c>
      <c r="Q793" s="8" t="s">
        <v>217</v>
      </c>
      <c r="R793" s="8" t="s">
        <v>664</v>
      </c>
      <c r="S793" s="8"/>
      <c r="T793" s="8"/>
      <c r="U793" s="8" t="s">
        <v>262</v>
      </c>
      <c r="V793" s="8"/>
      <c r="W793" s="8" t="s">
        <v>306</v>
      </c>
      <c r="X793" s="8"/>
      <c r="Y793" s="8"/>
    </row>
    <row r="794" spans="1:25" hidden="1" x14ac:dyDescent="0.25">
      <c r="A794" s="283" t="s">
        <v>235</v>
      </c>
      <c r="B794" s="260">
        <v>45721</v>
      </c>
      <c r="C794" s="261" t="s">
        <v>507</v>
      </c>
      <c r="D794" s="261"/>
      <c r="E794" s="262">
        <v>2741.13</v>
      </c>
      <c r="F794" s="262">
        <v>0</v>
      </c>
      <c r="G794" s="285">
        <f>Tabla3[[#This Row],[INGRESOS]]-Tabla3[[#This Row],[EGRESOS]]</f>
        <v>-2741.13</v>
      </c>
      <c r="H794" s="132">
        <v>-5969134.9699999997</v>
      </c>
      <c r="I794" s="135">
        <v>1140</v>
      </c>
      <c r="J794" s="136">
        <f>Tabla3[[#This Row],[EGRESOS]]/Tabla3[[#This Row],[TC]]</f>
        <v>2.4045000000000001</v>
      </c>
      <c r="K794" s="136">
        <f>Tabla3[[#This Row],[INGRESOS]]/Tabla3[[#This Row],[TC]]</f>
        <v>0</v>
      </c>
      <c r="L794" s="8" t="s">
        <v>303</v>
      </c>
      <c r="M794" s="8" t="s">
        <v>304</v>
      </c>
      <c r="N794" s="8" t="s">
        <v>20</v>
      </c>
      <c r="O794" s="7" t="s">
        <v>184</v>
      </c>
      <c r="P794" s="7" t="s">
        <v>187</v>
      </c>
      <c r="Q794" s="7" t="s">
        <v>188</v>
      </c>
      <c r="R794" s="7" t="s">
        <v>308</v>
      </c>
      <c r="S794" s="7"/>
      <c r="T794" s="7"/>
      <c r="U794" s="8" t="s">
        <v>261</v>
      </c>
      <c r="V794" s="7"/>
      <c r="W794" s="8" t="s">
        <v>306</v>
      </c>
      <c r="X794" s="8" t="s">
        <v>98</v>
      </c>
      <c r="Y794" s="8" t="s">
        <v>23</v>
      </c>
    </row>
    <row r="795" spans="1:25" hidden="1" x14ac:dyDescent="0.25">
      <c r="A795" s="283" t="s">
        <v>235</v>
      </c>
      <c r="B795" s="260">
        <v>45721</v>
      </c>
      <c r="C795" s="261" t="s">
        <v>508</v>
      </c>
      <c r="D795" s="261"/>
      <c r="E795" s="262">
        <v>391.59</v>
      </c>
      <c r="F795" s="262">
        <v>0</v>
      </c>
      <c r="G795" s="285">
        <f>Tabla3[[#This Row],[INGRESOS]]-Tabla3[[#This Row],[EGRESOS]]</f>
        <v>-391.59</v>
      </c>
      <c r="H795" s="132">
        <v>-5969526.5599999996</v>
      </c>
      <c r="I795" s="135">
        <v>1140</v>
      </c>
      <c r="J795" s="136">
        <f>Tabla3[[#This Row],[EGRESOS]]/Tabla3[[#This Row],[TC]]</f>
        <v>0.34349999999999997</v>
      </c>
      <c r="K795" s="136">
        <f>Tabla3[[#This Row],[INGRESOS]]/Tabla3[[#This Row],[TC]]</f>
        <v>0</v>
      </c>
      <c r="L795" s="8" t="s">
        <v>303</v>
      </c>
      <c r="M795" s="8" t="s">
        <v>304</v>
      </c>
      <c r="N795" s="8" t="s">
        <v>20</v>
      </c>
      <c r="O795" s="7" t="s">
        <v>184</v>
      </c>
      <c r="P795" s="7" t="s">
        <v>187</v>
      </c>
      <c r="Q795" s="7" t="s">
        <v>188</v>
      </c>
      <c r="R795" s="7" t="s">
        <v>334</v>
      </c>
      <c r="S795" s="7"/>
      <c r="T795" s="7"/>
      <c r="U795" s="8" t="s">
        <v>261</v>
      </c>
      <c r="V795" s="7"/>
      <c r="W795" s="8" t="s">
        <v>306</v>
      </c>
      <c r="X795" s="8" t="s">
        <v>98</v>
      </c>
      <c r="Y795" s="8" t="s">
        <v>23</v>
      </c>
    </row>
    <row r="796" spans="1:25" hidden="1" x14ac:dyDescent="0.25">
      <c r="A796" s="283" t="s">
        <v>235</v>
      </c>
      <c r="B796" s="260">
        <v>45721</v>
      </c>
      <c r="C796" s="261" t="s">
        <v>536</v>
      </c>
      <c r="D796" s="261"/>
      <c r="E796" s="262">
        <v>13053</v>
      </c>
      <c r="F796" s="262">
        <v>0</v>
      </c>
      <c r="G796" s="285">
        <f>Tabla3[[#This Row],[INGRESOS]]-Tabla3[[#This Row],[EGRESOS]]</f>
        <v>-13053</v>
      </c>
      <c r="H796" s="132">
        <v>-5982579.5599999996</v>
      </c>
      <c r="I796" s="135">
        <v>1140</v>
      </c>
      <c r="J796" s="136">
        <f>Tabla3[[#This Row],[EGRESOS]]/Tabla3[[#This Row],[TC]]</f>
        <v>11.45</v>
      </c>
      <c r="K796" s="136">
        <f>Tabla3[[#This Row],[INGRESOS]]/Tabla3[[#This Row],[TC]]</f>
        <v>0</v>
      </c>
      <c r="L796" s="8" t="s">
        <v>303</v>
      </c>
      <c r="M796" s="8" t="s">
        <v>304</v>
      </c>
      <c r="N796" s="8" t="s">
        <v>20</v>
      </c>
      <c r="O796" s="7" t="s">
        <v>184</v>
      </c>
      <c r="P796" s="7" t="s">
        <v>185</v>
      </c>
      <c r="Q796" s="7" t="s">
        <v>186</v>
      </c>
      <c r="R796" s="7"/>
      <c r="S796" s="7"/>
      <c r="T796" s="7"/>
      <c r="U796" s="8" t="s">
        <v>261</v>
      </c>
      <c r="V796" s="7"/>
      <c r="W796" s="8" t="s">
        <v>306</v>
      </c>
      <c r="X796" s="8" t="s">
        <v>98</v>
      </c>
      <c r="Y796" s="8" t="s">
        <v>23</v>
      </c>
    </row>
    <row r="797" spans="1:25" hidden="1" x14ac:dyDescent="0.25">
      <c r="A797" s="283" t="s">
        <v>235</v>
      </c>
      <c r="B797" s="260">
        <v>45721</v>
      </c>
      <c r="C797" s="261" t="s">
        <v>590</v>
      </c>
      <c r="D797" s="261"/>
      <c r="E797" s="262">
        <v>4307.79</v>
      </c>
      <c r="F797" s="262">
        <v>0</v>
      </c>
      <c r="G797" s="285">
        <f>Tabla3[[#This Row],[INGRESOS]]-Tabla3[[#This Row],[EGRESOS]]</f>
        <v>-4307.79</v>
      </c>
      <c r="H797" s="132">
        <v>-5986887.3499999996</v>
      </c>
      <c r="I797" s="135">
        <v>1140</v>
      </c>
      <c r="J797" s="136">
        <f>Tabla3[[#This Row],[EGRESOS]]/Tabla3[[#This Row],[TC]]</f>
        <v>3.7787631578947369</v>
      </c>
      <c r="K797" s="136">
        <f>Tabla3[[#This Row],[INGRESOS]]/Tabla3[[#This Row],[TC]]</f>
        <v>0</v>
      </c>
      <c r="L797" s="8" t="s">
        <v>303</v>
      </c>
      <c r="M797" s="8" t="s">
        <v>304</v>
      </c>
      <c r="N797" s="8" t="s">
        <v>20</v>
      </c>
      <c r="O797" s="8" t="s">
        <v>184</v>
      </c>
      <c r="P797" s="8" t="s">
        <v>187</v>
      </c>
      <c r="Q797" s="8" t="s">
        <v>188</v>
      </c>
      <c r="R797" s="8" t="s">
        <v>339</v>
      </c>
      <c r="S797" s="8"/>
      <c r="T797" s="8"/>
      <c r="U797" s="8" t="s">
        <v>261</v>
      </c>
      <c r="V797" s="8"/>
      <c r="W797" s="8" t="s">
        <v>306</v>
      </c>
      <c r="X797" s="8" t="s">
        <v>98</v>
      </c>
      <c r="Y797" s="8" t="s">
        <v>23</v>
      </c>
    </row>
    <row r="798" spans="1:25" hidden="1" x14ac:dyDescent="0.25">
      <c r="A798" s="283" t="s">
        <v>235</v>
      </c>
      <c r="B798" s="260">
        <v>45721</v>
      </c>
      <c r="C798" s="261" t="s">
        <v>637</v>
      </c>
      <c r="D798" s="261"/>
      <c r="E798" s="262">
        <v>14566.14</v>
      </c>
      <c r="F798" s="262">
        <v>0</v>
      </c>
      <c r="G798" s="285">
        <f>Tabla3[[#This Row],[INGRESOS]]-Tabla3[[#This Row],[EGRESOS]]</f>
        <v>-14566.14</v>
      </c>
      <c r="H798" s="132">
        <v>-6001453.4900000002</v>
      </c>
      <c r="I798" s="135">
        <v>1140</v>
      </c>
      <c r="J798" s="136">
        <f>Tabla3[[#This Row],[EGRESOS]]/Tabla3[[#This Row],[TC]]</f>
        <v>12.777315789473684</v>
      </c>
      <c r="K798" s="136">
        <f>Tabla3[[#This Row],[INGRESOS]]/Tabla3[[#This Row],[TC]]</f>
        <v>0</v>
      </c>
      <c r="L798" s="8" t="s">
        <v>303</v>
      </c>
      <c r="M798" s="8" t="s">
        <v>304</v>
      </c>
      <c r="N798" s="8" t="s">
        <v>20</v>
      </c>
      <c r="O798" s="8" t="s">
        <v>184</v>
      </c>
      <c r="P798" s="8" t="s">
        <v>187</v>
      </c>
      <c r="Q798" s="8" t="s">
        <v>188</v>
      </c>
      <c r="R798" s="8" t="s">
        <v>317</v>
      </c>
      <c r="S798" s="8"/>
      <c r="T798" s="8"/>
      <c r="U798" s="8" t="s">
        <v>261</v>
      </c>
      <c r="V798" s="8"/>
      <c r="W798" s="8" t="s">
        <v>306</v>
      </c>
      <c r="X798" s="8" t="s">
        <v>98</v>
      </c>
      <c r="Y798" s="8" t="s">
        <v>23</v>
      </c>
    </row>
    <row r="799" spans="1:25" hidden="1" x14ac:dyDescent="0.25">
      <c r="A799" s="283" t="s">
        <v>235</v>
      </c>
      <c r="B799" s="260">
        <v>45722</v>
      </c>
      <c r="C799" s="261" t="s">
        <v>521</v>
      </c>
      <c r="D799" s="261" t="s">
        <v>628</v>
      </c>
      <c r="E799" s="262">
        <v>1331000</v>
      </c>
      <c r="F799" s="262">
        <v>0</v>
      </c>
      <c r="G799" s="285">
        <f>Tabla3[[#This Row],[INGRESOS]]-Tabla3[[#This Row],[EGRESOS]]</f>
        <v>-1331000</v>
      </c>
      <c r="H799" s="132">
        <v>-7332453.4900000002</v>
      </c>
      <c r="I799" s="135">
        <v>1140</v>
      </c>
      <c r="J799" s="136">
        <f>Tabla3[[#This Row],[EGRESOS]]/Tabla3[[#This Row],[TC]]</f>
        <v>1167.5438596491229</v>
      </c>
      <c r="K799" s="136">
        <f>Tabla3[[#This Row],[INGRESOS]]/Tabla3[[#This Row],[TC]]</f>
        <v>0</v>
      </c>
      <c r="L799" s="8" t="s">
        <v>303</v>
      </c>
      <c r="M799" s="8" t="s">
        <v>304</v>
      </c>
      <c r="N799" s="8" t="s">
        <v>20</v>
      </c>
      <c r="O799" s="8" t="s">
        <v>197</v>
      </c>
      <c r="P799" s="8" t="s">
        <v>198</v>
      </c>
      <c r="Q799" s="8" t="s">
        <v>201</v>
      </c>
      <c r="R799" s="8" t="s">
        <v>202</v>
      </c>
      <c r="S799" s="8" t="s">
        <v>573</v>
      </c>
      <c r="T799" s="8"/>
      <c r="U799" s="8" t="s">
        <v>260</v>
      </c>
      <c r="V799" s="8"/>
      <c r="W799" s="8" t="s">
        <v>306</v>
      </c>
      <c r="X799" s="8" t="s">
        <v>29</v>
      </c>
      <c r="Y799" s="8" t="s">
        <v>23</v>
      </c>
    </row>
    <row r="800" spans="1:25" hidden="1" x14ac:dyDescent="0.25">
      <c r="A800" s="283" t="s">
        <v>235</v>
      </c>
      <c r="B800" s="260">
        <v>45722</v>
      </c>
      <c r="C800" s="261" t="s">
        <v>521</v>
      </c>
      <c r="D800" s="261" t="s">
        <v>629</v>
      </c>
      <c r="E800" s="262">
        <v>1229406</v>
      </c>
      <c r="F800" s="262">
        <v>0</v>
      </c>
      <c r="G800" s="285">
        <f>Tabla3[[#This Row],[INGRESOS]]-Tabla3[[#This Row],[EGRESOS]]</f>
        <v>-1229406</v>
      </c>
      <c r="H800" s="132">
        <v>-8561859.4900000002</v>
      </c>
      <c r="I800" s="135">
        <v>1140</v>
      </c>
      <c r="J800" s="136">
        <f>Tabla3[[#This Row],[EGRESOS]]/Tabla3[[#This Row],[TC]]</f>
        <v>1078.4263157894736</v>
      </c>
      <c r="K800" s="136">
        <f>Tabla3[[#This Row],[INGRESOS]]/Tabla3[[#This Row],[TC]]</f>
        <v>0</v>
      </c>
      <c r="L800" s="8" t="s">
        <v>303</v>
      </c>
      <c r="M800" s="8" t="s">
        <v>304</v>
      </c>
      <c r="N800" s="8" t="s">
        <v>20</v>
      </c>
      <c r="O800" s="8" t="s">
        <v>197</v>
      </c>
      <c r="P800" s="8" t="s">
        <v>198</v>
      </c>
      <c r="Q800" s="8" t="s">
        <v>201</v>
      </c>
      <c r="R800" s="8" t="s">
        <v>202</v>
      </c>
      <c r="S800" s="8" t="s">
        <v>573</v>
      </c>
      <c r="T800" s="8"/>
      <c r="U800" s="8" t="s">
        <v>260</v>
      </c>
      <c r="V800" s="8"/>
      <c r="W800" s="8" t="s">
        <v>306</v>
      </c>
      <c r="X800" s="8" t="s">
        <v>29</v>
      </c>
      <c r="Y800" s="8" t="s">
        <v>23</v>
      </c>
    </row>
    <row r="801" spans="1:25" hidden="1" x14ac:dyDescent="0.25">
      <c r="A801" s="283" t="s">
        <v>235</v>
      </c>
      <c r="B801" s="260">
        <v>45722</v>
      </c>
      <c r="C801" s="261" t="s">
        <v>521</v>
      </c>
      <c r="D801" s="261" t="s">
        <v>630</v>
      </c>
      <c r="E801" s="262">
        <v>102000</v>
      </c>
      <c r="F801" s="262">
        <v>0</v>
      </c>
      <c r="G801" s="285">
        <f>Tabla3[[#This Row],[INGRESOS]]-Tabla3[[#This Row],[EGRESOS]]</f>
        <v>-102000</v>
      </c>
      <c r="H801" s="132">
        <v>-8663859.4900000002</v>
      </c>
      <c r="I801" s="135">
        <v>1140</v>
      </c>
      <c r="J801" s="136">
        <f>Tabla3[[#This Row],[EGRESOS]]/Tabla3[[#This Row],[TC]]</f>
        <v>89.473684210526315</v>
      </c>
      <c r="K801" s="136">
        <f>Tabla3[[#This Row],[INGRESOS]]/Tabla3[[#This Row],[TC]]</f>
        <v>0</v>
      </c>
      <c r="L801" s="8" t="s">
        <v>303</v>
      </c>
      <c r="M801" s="8" t="s">
        <v>304</v>
      </c>
      <c r="N801" s="8" t="s">
        <v>20</v>
      </c>
      <c r="O801" s="8" t="s">
        <v>204</v>
      </c>
      <c r="P801" s="8" t="s">
        <v>208</v>
      </c>
      <c r="Q801" s="8" t="s">
        <v>209</v>
      </c>
      <c r="R801" s="8"/>
      <c r="S801" s="8" t="s">
        <v>541</v>
      </c>
      <c r="T801" s="8"/>
      <c r="U801" s="8" t="s">
        <v>258</v>
      </c>
      <c r="V801" s="8"/>
      <c r="W801" s="8" t="s">
        <v>306</v>
      </c>
      <c r="X801" s="8" t="s">
        <v>29</v>
      </c>
      <c r="Y801" s="8" t="s">
        <v>23</v>
      </c>
    </row>
    <row r="802" spans="1:25" hidden="1" x14ac:dyDescent="0.25">
      <c r="A802" s="283" t="s">
        <v>235</v>
      </c>
      <c r="B802" s="260">
        <v>45722</v>
      </c>
      <c r="C802" s="261" t="s">
        <v>535</v>
      </c>
      <c r="D802" s="262"/>
      <c r="E802" s="262">
        <v>0</v>
      </c>
      <c r="F802" s="262">
        <v>2670000</v>
      </c>
      <c r="G802" s="285">
        <f>Tabla3[[#This Row],[INGRESOS]]-Tabla3[[#This Row],[EGRESOS]]</f>
        <v>2670000</v>
      </c>
      <c r="H802" s="132">
        <v>-5993859.4900000002</v>
      </c>
      <c r="I802" s="135">
        <v>1140</v>
      </c>
      <c r="J802" s="136">
        <f>Tabla3[[#This Row],[EGRESOS]]/Tabla3[[#This Row],[TC]]</f>
        <v>0</v>
      </c>
      <c r="K802" s="136">
        <f>Tabla3[[#This Row],[INGRESOS]]/Tabla3[[#This Row],[TC]]</f>
        <v>2342.1052631578946</v>
      </c>
      <c r="L802" s="8" t="s">
        <v>303</v>
      </c>
      <c r="M802" s="8" t="s">
        <v>304</v>
      </c>
      <c r="N802" s="8" t="s">
        <v>20</v>
      </c>
      <c r="O802" s="8" t="s">
        <v>214</v>
      </c>
      <c r="P802" s="8" t="s">
        <v>216</v>
      </c>
      <c r="Q802" s="8" t="s">
        <v>217</v>
      </c>
      <c r="R802" s="8" t="s">
        <v>664</v>
      </c>
      <c r="S802" s="8"/>
      <c r="T802" s="8"/>
      <c r="U802" s="8" t="s">
        <v>262</v>
      </c>
      <c r="V802" s="8"/>
      <c r="W802" s="8" t="s">
        <v>306</v>
      </c>
      <c r="X802" s="8"/>
      <c r="Y802" s="8"/>
    </row>
    <row r="803" spans="1:25" hidden="1" x14ac:dyDescent="0.25">
      <c r="A803" s="283" t="s">
        <v>235</v>
      </c>
      <c r="B803" s="260">
        <v>45722</v>
      </c>
      <c r="C803" s="261" t="s">
        <v>507</v>
      </c>
      <c r="D803" s="262"/>
      <c r="E803" s="262">
        <v>2741.13</v>
      </c>
      <c r="F803" s="262">
        <v>0</v>
      </c>
      <c r="G803" s="285">
        <f>Tabla3[[#This Row],[INGRESOS]]-Tabla3[[#This Row],[EGRESOS]]</f>
        <v>-2741.13</v>
      </c>
      <c r="H803" s="132">
        <v>-5996600.6200000001</v>
      </c>
      <c r="I803" s="135">
        <v>1140</v>
      </c>
      <c r="J803" s="136">
        <f>Tabla3[[#This Row],[EGRESOS]]/Tabla3[[#This Row],[TC]]</f>
        <v>2.4045000000000001</v>
      </c>
      <c r="K803" s="136">
        <f>Tabla3[[#This Row],[INGRESOS]]/Tabla3[[#This Row],[TC]]</f>
        <v>0</v>
      </c>
      <c r="L803" s="8" t="s">
        <v>303</v>
      </c>
      <c r="M803" s="8" t="s">
        <v>304</v>
      </c>
      <c r="N803" s="8" t="s">
        <v>20</v>
      </c>
      <c r="O803" s="8" t="s">
        <v>184</v>
      </c>
      <c r="P803" s="8" t="s">
        <v>187</v>
      </c>
      <c r="Q803" s="8" t="s">
        <v>188</v>
      </c>
      <c r="R803" s="8" t="s">
        <v>308</v>
      </c>
      <c r="S803" s="8"/>
      <c r="T803" s="8"/>
      <c r="U803" s="8" t="s">
        <v>261</v>
      </c>
      <c r="V803" s="8"/>
      <c r="W803" s="8" t="s">
        <v>306</v>
      </c>
      <c r="X803" s="8" t="s">
        <v>98</v>
      </c>
      <c r="Y803" s="8" t="s">
        <v>23</v>
      </c>
    </row>
    <row r="804" spans="1:25" hidden="1" x14ac:dyDescent="0.25">
      <c r="A804" s="283" t="s">
        <v>235</v>
      </c>
      <c r="B804" s="260">
        <v>45722</v>
      </c>
      <c r="C804" s="261" t="s">
        <v>508</v>
      </c>
      <c r="D804" s="262"/>
      <c r="E804" s="262">
        <v>391.59</v>
      </c>
      <c r="F804" s="262">
        <v>0</v>
      </c>
      <c r="G804" s="285">
        <f>Tabla3[[#This Row],[INGRESOS]]-Tabla3[[#This Row],[EGRESOS]]</f>
        <v>-391.59</v>
      </c>
      <c r="H804" s="132">
        <v>-5996992.21</v>
      </c>
      <c r="I804" s="135">
        <v>1140</v>
      </c>
      <c r="J804" s="136">
        <f>Tabla3[[#This Row],[EGRESOS]]/Tabla3[[#This Row],[TC]]</f>
        <v>0.34349999999999997</v>
      </c>
      <c r="K804" s="136">
        <f>Tabla3[[#This Row],[INGRESOS]]/Tabla3[[#This Row],[TC]]</f>
        <v>0</v>
      </c>
      <c r="L804" s="8" t="s">
        <v>303</v>
      </c>
      <c r="M804" s="8" t="s">
        <v>304</v>
      </c>
      <c r="N804" s="8" t="s">
        <v>20</v>
      </c>
      <c r="O804" s="8" t="s">
        <v>184</v>
      </c>
      <c r="P804" s="8" t="s">
        <v>187</v>
      </c>
      <c r="Q804" s="8" t="s">
        <v>188</v>
      </c>
      <c r="R804" s="8" t="s">
        <v>334</v>
      </c>
      <c r="S804" s="8"/>
      <c r="T804" s="8"/>
      <c r="U804" s="8" t="s">
        <v>261</v>
      </c>
      <c r="V804" s="8"/>
      <c r="W804" s="8" t="s">
        <v>306</v>
      </c>
      <c r="X804" s="8" t="s">
        <v>98</v>
      </c>
      <c r="Y804" s="8" t="s">
        <v>23</v>
      </c>
    </row>
    <row r="805" spans="1:25" hidden="1" x14ac:dyDescent="0.25">
      <c r="A805" s="283" t="s">
        <v>235</v>
      </c>
      <c r="B805" s="260">
        <v>45722</v>
      </c>
      <c r="C805" s="261" t="s">
        <v>536</v>
      </c>
      <c r="D805" s="262"/>
      <c r="E805" s="262">
        <v>13053</v>
      </c>
      <c r="F805" s="262">
        <v>0</v>
      </c>
      <c r="G805" s="285">
        <f>Tabla3[[#This Row],[INGRESOS]]-Tabla3[[#This Row],[EGRESOS]]</f>
        <v>-13053</v>
      </c>
      <c r="H805" s="132">
        <v>-6010045.21</v>
      </c>
      <c r="I805" s="135">
        <v>1140</v>
      </c>
      <c r="J805" s="136">
        <f>Tabla3[[#This Row],[EGRESOS]]/Tabla3[[#This Row],[TC]]</f>
        <v>11.45</v>
      </c>
      <c r="K805" s="136">
        <f>Tabla3[[#This Row],[INGRESOS]]/Tabla3[[#This Row],[TC]]</f>
        <v>0</v>
      </c>
      <c r="L805" s="8" t="s">
        <v>303</v>
      </c>
      <c r="M805" s="8" t="s">
        <v>304</v>
      </c>
      <c r="N805" s="8" t="s">
        <v>20</v>
      </c>
      <c r="O805" s="8" t="s">
        <v>184</v>
      </c>
      <c r="P805" s="7" t="s">
        <v>185</v>
      </c>
      <c r="Q805" s="8" t="s">
        <v>186</v>
      </c>
      <c r="R805" s="8"/>
      <c r="S805" s="8"/>
      <c r="T805" s="8"/>
      <c r="U805" s="8" t="s">
        <v>261</v>
      </c>
      <c r="V805" s="8"/>
      <c r="W805" s="8" t="s">
        <v>306</v>
      </c>
      <c r="X805" s="8" t="s">
        <v>98</v>
      </c>
      <c r="Y805" s="8" t="s">
        <v>23</v>
      </c>
    </row>
    <row r="806" spans="1:25" hidden="1" x14ac:dyDescent="0.25">
      <c r="A806" s="283" t="s">
        <v>235</v>
      </c>
      <c r="B806" s="260">
        <v>45722</v>
      </c>
      <c r="C806" s="261" t="s">
        <v>637</v>
      </c>
      <c r="D806" s="262"/>
      <c r="E806" s="262">
        <v>16071.55</v>
      </c>
      <c r="F806" s="262">
        <v>0</v>
      </c>
      <c r="G806" s="285">
        <f>Tabla3[[#This Row],[INGRESOS]]-Tabla3[[#This Row],[EGRESOS]]</f>
        <v>-16071.55</v>
      </c>
      <c r="H806" s="132">
        <v>-6026116.7599999998</v>
      </c>
      <c r="I806" s="135">
        <v>1140</v>
      </c>
      <c r="J806" s="136">
        <f>Tabla3[[#This Row],[EGRESOS]]/Tabla3[[#This Row],[TC]]</f>
        <v>14.097850877192982</v>
      </c>
      <c r="K806" s="136">
        <f>Tabla3[[#This Row],[INGRESOS]]/Tabla3[[#This Row],[TC]]</f>
        <v>0</v>
      </c>
      <c r="L806" s="8" t="s">
        <v>303</v>
      </c>
      <c r="M806" s="8" t="s">
        <v>304</v>
      </c>
      <c r="N806" s="8" t="s">
        <v>20</v>
      </c>
      <c r="O806" s="8" t="s">
        <v>184</v>
      </c>
      <c r="P806" s="8" t="s">
        <v>187</v>
      </c>
      <c r="Q806" s="8" t="s">
        <v>188</v>
      </c>
      <c r="R806" s="8" t="s">
        <v>317</v>
      </c>
      <c r="S806" s="8"/>
      <c r="T806" s="8"/>
      <c r="U806" s="8" t="s">
        <v>261</v>
      </c>
      <c r="V806" s="8"/>
      <c r="W806" s="8" t="s">
        <v>306</v>
      </c>
      <c r="X806" s="8" t="s">
        <v>98</v>
      </c>
      <c r="Y806" s="8" t="s">
        <v>23</v>
      </c>
    </row>
    <row r="807" spans="1:25" hidden="1" x14ac:dyDescent="0.25">
      <c r="A807" s="283" t="s">
        <v>235</v>
      </c>
      <c r="B807" s="260">
        <v>45723</v>
      </c>
      <c r="C807" s="261" t="s">
        <v>521</v>
      </c>
      <c r="D807" s="262" t="s">
        <v>631</v>
      </c>
      <c r="E807" s="262">
        <v>555035.56999999995</v>
      </c>
      <c r="F807" s="262">
        <v>0</v>
      </c>
      <c r="G807" s="285">
        <f>Tabla3[[#This Row],[INGRESOS]]-Tabla3[[#This Row],[EGRESOS]]</f>
        <v>-555035.56999999995</v>
      </c>
      <c r="H807" s="132">
        <v>-6581152.3300000001</v>
      </c>
      <c r="I807" s="135">
        <v>1140</v>
      </c>
      <c r="J807" s="136">
        <f>Tabla3[[#This Row],[EGRESOS]]/Tabla3[[#This Row],[TC]]</f>
        <v>486.87330701754382</v>
      </c>
      <c r="K807" s="136">
        <f>Tabla3[[#This Row],[INGRESOS]]/Tabla3[[#This Row],[TC]]</f>
        <v>0</v>
      </c>
      <c r="L807" s="8" t="s">
        <v>303</v>
      </c>
      <c r="M807" s="8" t="s">
        <v>304</v>
      </c>
      <c r="N807" s="8" t="s">
        <v>20</v>
      </c>
      <c r="O807" s="8" t="s">
        <v>184</v>
      </c>
      <c r="P807" s="8" t="s">
        <v>194</v>
      </c>
      <c r="Q807" s="8" t="s">
        <v>196</v>
      </c>
      <c r="R807" s="8" t="s">
        <v>632</v>
      </c>
      <c r="S807" s="8" t="s">
        <v>633</v>
      </c>
      <c r="T807" s="8" t="s">
        <v>634</v>
      </c>
      <c r="U807" s="8" t="s">
        <v>277</v>
      </c>
      <c r="V807" s="8" t="s">
        <v>311</v>
      </c>
      <c r="W807" s="8" t="s">
        <v>306</v>
      </c>
      <c r="X807" s="8" t="s">
        <v>29</v>
      </c>
      <c r="Y807" s="8" t="s">
        <v>23</v>
      </c>
    </row>
    <row r="808" spans="1:25" hidden="1" x14ac:dyDescent="0.25">
      <c r="A808" s="283" t="s">
        <v>235</v>
      </c>
      <c r="B808" s="260">
        <v>45723</v>
      </c>
      <c r="C808" s="261" t="s">
        <v>535</v>
      </c>
      <c r="D808" s="261"/>
      <c r="E808" s="262">
        <v>0</v>
      </c>
      <c r="F808" s="262">
        <v>583000</v>
      </c>
      <c r="G808" s="285">
        <f>Tabla3[[#This Row],[INGRESOS]]-Tabla3[[#This Row],[EGRESOS]]</f>
        <v>583000</v>
      </c>
      <c r="H808" s="132">
        <v>-5998152.3300000001</v>
      </c>
      <c r="I808" s="135">
        <v>1140</v>
      </c>
      <c r="J808" s="136">
        <f>Tabla3[[#This Row],[EGRESOS]]/Tabla3[[#This Row],[TC]]</f>
        <v>0</v>
      </c>
      <c r="K808" s="136">
        <f>Tabla3[[#This Row],[INGRESOS]]/Tabla3[[#This Row],[TC]]</f>
        <v>511.40350877192981</v>
      </c>
      <c r="L808" s="8" t="s">
        <v>303</v>
      </c>
      <c r="M808" s="8" t="s">
        <v>304</v>
      </c>
      <c r="N808" s="8" t="s">
        <v>20</v>
      </c>
      <c r="O808" s="8" t="s">
        <v>214</v>
      </c>
      <c r="P808" s="8" t="s">
        <v>216</v>
      </c>
      <c r="Q808" s="8" t="s">
        <v>217</v>
      </c>
      <c r="R808" s="8" t="s">
        <v>664</v>
      </c>
      <c r="S808" s="8"/>
      <c r="T808" s="8"/>
      <c r="U808" s="8" t="s">
        <v>262</v>
      </c>
      <c r="V808" s="8"/>
      <c r="W808" s="8" t="s">
        <v>306</v>
      </c>
      <c r="X808" s="8"/>
      <c r="Y808" s="8"/>
    </row>
    <row r="809" spans="1:25" hidden="1" x14ac:dyDescent="0.25">
      <c r="A809" s="283" t="s">
        <v>235</v>
      </c>
      <c r="B809" s="260">
        <v>45723</v>
      </c>
      <c r="C809" s="261" t="s">
        <v>507</v>
      </c>
      <c r="D809" s="261"/>
      <c r="E809" s="262">
        <v>583000</v>
      </c>
      <c r="F809" s="258">
        <v>0</v>
      </c>
      <c r="G809" s="285">
        <f>Tabla3[[#This Row],[INGRESOS]]-Tabla3[[#This Row],[EGRESOS]]</f>
        <v>-583000</v>
      </c>
      <c r="H809" s="132">
        <v>-6000893.46</v>
      </c>
      <c r="I809" s="135">
        <v>1140</v>
      </c>
      <c r="J809" s="136">
        <f>Tabla3[[#This Row],[EGRESOS]]/Tabla3[[#This Row],[TC]]</f>
        <v>511.40350877192981</v>
      </c>
      <c r="K809" s="136">
        <f>Tabla3[[#This Row],[INGRESOS]]/Tabla3[[#This Row],[TC]]</f>
        <v>0</v>
      </c>
      <c r="L809" s="8" t="s">
        <v>303</v>
      </c>
      <c r="M809" s="8" t="s">
        <v>304</v>
      </c>
      <c r="N809" s="8" t="s">
        <v>20</v>
      </c>
      <c r="O809" s="8" t="s">
        <v>184</v>
      </c>
      <c r="P809" s="8" t="s">
        <v>187</v>
      </c>
      <c r="Q809" s="8" t="s">
        <v>188</v>
      </c>
      <c r="R809" s="8" t="s">
        <v>308</v>
      </c>
      <c r="S809" s="8"/>
      <c r="T809" s="8"/>
      <c r="U809" s="8" t="s">
        <v>261</v>
      </c>
      <c r="V809" s="8"/>
      <c r="W809" s="8" t="s">
        <v>306</v>
      </c>
      <c r="X809" s="8" t="s">
        <v>98</v>
      </c>
      <c r="Y809" s="8" t="s">
        <v>23</v>
      </c>
    </row>
    <row r="810" spans="1:25" hidden="1" x14ac:dyDescent="0.25">
      <c r="A810" s="283" t="s">
        <v>235</v>
      </c>
      <c r="B810" s="260">
        <v>45723</v>
      </c>
      <c r="C810" s="261" t="s">
        <v>508</v>
      </c>
      <c r="D810" s="261"/>
      <c r="E810" s="262">
        <v>2741.13</v>
      </c>
      <c r="F810" s="262">
        <v>0</v>
      </c>
      <c r="G810" s="285">
        <f>Tabla3[[#This Row],[INGRESOS]]-Tabla3[[#This Row],[EGRESOS]]</f>
        <v>-2741.13</v>
      </c>
      <c r="H810" s="132">
        <v>-6001285.0499999998</v>
      </c>
      <c r="I810" s="135">
        <v>1140</v>
      </c>
      <c r="J810" s="136">
        <f>Tabla3[[#This Row],[EGRESOS]]/Tabla3[[#This Row],[TC]]</f>
        <v>2.4045000000000001</v>
      </c>
      <c r="K810" s="136">
        <f>Tabla3[[#This Row],[INGRESOS]]/Tabla3[[#This Row],[TC]]</f>
        <v>0</v>
      </c>
      <c r="L810" s="8" t="s">
        <v>303</v>
      </c>
      <c r="M810" s="8" t="s">
        <v>304</v>
      </c>
      <c r="N810" s="8" t="s">
        <v>20</v>
      </c>
      <c r="O810" s="8" t="s">
        <v>184</v>
      </c>
      <c r="P810" s="8" t="s">
        <v>187</v>
      </c>
      <c r="Q810" s="8" t="s">
        <v>188</v>
      </c>
      <c r="R810" s="8" t="s">
        <v>334</v>
      </c>
      <c r="S810" s="8"/>
      <c r="T810" s="8"/>
      <c r="U810" s="8" t="s">
        <v>261</v>
      </c>
      <c r="V810" s="8"/>
      <c r="W810" s="8" t="s">
        <v>306</v>
      </c>
      <c r="X810" s="8" t="s">
        <v>98</v>
      </c>
      <c r="Y810" s="8" t="s">
        <v>23</v>
      </c>
    </row>
    <row r="811" spans="1:25" hidden="1" x14ac:dyDescent="0.25">
      <c r="A811" s="283" t="s">
        <v>235</v>
      </c>
      <c r="B811" s="260">
        <v>45723</v>
      </c>
      <c r="C811" s="261" t="s">
        <v>536</v>
      </c>
      <c r="D811" s="261"/>
      <c r="E811" s="262">
        <v>391.59</v>
      </c>
      <c r="F811" s="262">
        <v>0</v>
      </c>
      <c r="G811" s="285">
        <f>Tabla3[[#This Row],[INGRESOS]]-Tabla3[[#This Row],[EGRESOS]]</f>
        <v>-391.59</v>
      </c>
      <c r="H811" s="132">
        <v>-6014338.0499999998</v>
      </c>
      <c r="I811" s="135">
        <v>1140</v>
      </c>
      <c r="J811" s="136">
        <f>Tabla3[[#This Row],[EGRESOS]]/Tabla3[[#This Row],[TC]]</f>
        <v>0.34349999999999997</v>
      </c>
      <c r="K811" s="136">
        <f>Tabla3[[#This Row],[INGRESOS]]/Tabla3[[#This Row],[TC]]</f>
        <v>0</v>
      </c>
      <c r="L811" s="8" t="s">
        <v>303</v>
      </c>
      <c r="M811" s="8" t="s">
        <v>304</v>
      </c>
      <c r="N811" s="8" t="s">
        <v>20</v>
      </c>
      <c r="O811" s="8" t="s">
        <v>184</v>
      </c>
      <c r="P811" s="8" t="s">
        <v>185</v>
      </c>
      <c r="Q811" s="8" t="s">
        <v>186</v>
      </c>
      <c r="R811" s="8"/>
      <c r="S811" s="8"/>
      <c r="T811" s="8"/>
      <c r="U811" s="8" t="s">
        <v>261</v>
      </c>
      <c r="V811" s="8"/>
      <c r="W811" s="8" t="s">
        <v>306</v>
      </c>
      <c r="X811" s="8" t="s">
        <v>98</v>
      </c>
      <c r="Y811" s="8" t="s">
        <v>23</v>
      </c>
    </row>
    <row r="812" spans="1:25" hidden="1" x14ac:dyDescent="0.25">
      <c r="A812" s="283" t="s">
        <v>235</v>
      </c>
      <c r="B812" s="260">
        <v>45723</v>
      </c>
      <c r="C812" s="261" t="s">
        <v>637</v>
      </c>
      <c r="D812" s="261"/>
      <c r="E812" s="262">
        <v>13053</v>
      </c>
      <c r="F812" s="262">
        <v>0</v>
      </c>
      <c r="G812" s="285">
        <f>Tabla3[[#This Row],[INGRESOS]]-Tabla3[[#This Row],[EGRESOS]]</f>
        <v>-13053</v>
      </c>
      <c r="H812" s="132">
        <v>-6017765.3700000001</v>
      </c>
      <c r="I812" s="135">
        <v>1140</v>
      </c>
      <c r="J812" s="136">
        <f>Tabla3[[#This Row],[EGRESOS]]/Tabla3[[#This Row],[TC]]</f>
        <v>11.45</v>
      </c>
      <c r="K812" s="136">
        <f>Tabla3[[#This Row],[INGRESOS]]/Tabla3[[#This Row],[TC]]</f>
        <v>0</v>
      </c>
      <c r="L812" s="8" t="s">
        <v>303</v>
      </c>
      <c r="M812" s="8" t="s">
        <v>304</v>
      </c>
      <c r="N812" s="8" t="s">
        <v>20</v>
      </c>
      <c r="O812" s="8" t="s">
        <v>184</v>
      </c>
      <c r="P812" s="8" t="s">
        <v>187</v>
      </c>
      <c r="Q812" s="8" t="s">
        <v>188</v>
      </c>
      <c r="R812" s="8" t="s">
        <v>317</v>
      </c>
      <c r="S812" s="8"/>
      <c r="T812" s="8"/>
      <c r="U812" s="8" t="s">
        <v>261</v>
      </c>
      <c r="V812" s="8"/>
      <c r="W812" s="8" t="s">
        <v>306</v>
      </c>
      <c r="X812" s="8" t="s">
        <v>98</v>
      </c>
      <c r="Y812" s="8" t="s">
        <v>23</v>
      </c>
    </row>
    <row r="813" spans="1:25" hidden="1" x14ac:dyDescent="0.25">
      <c r="A813" s="283" t="s">
        <v>235</v>
      </c>
      <c r="B813" s="260">
        <v>45723</v>
      </c>
      <c r="C813" s="261" t="s">
        <v>637</v>
      </c>
      <c r="D813" s="261"/>
      <c r="E813" s="262">
        <v>3427.32</v>
      </c>
      <c r="F813" s="262">
        <v>0</v>
      </c>
      <c r="G813" s="285">
        <f>Tabla3[[#This Row],[INGRESOS]]-Tabla3[[#This Row],[EGRESOS]]</f>
        <v>-3427.32</v>
      </c>
      <c r="H813" s="132">
        <v>-6017765.3700000001</v>
      </c>
      <c r="I813" s="135">
        <v>1140</v>
      </c>
      <c r="J813" s="136">
        <f>Tabla3[[#This Row],[EGRESOS]]/Tabla3[[#This Row],[TC]]</f>
        <v>3.0064210526315791</v>
      </c>
      <c r="K813" s="136">
        <f>Tabla3[[#This Row],[INGRESOS]]/Tabla3[[#This Row],[TC]]</f>
        <v>0</v>
      </c>
      <c r="L813" s="8" t="s">
        <v>303</v>
      </c>
      <c r="M813" s="8" t="s">
        <v>304</v>
      </c>
      <c r="N813" s="8" t="s">
        <v>20</v>
      </c>
      <c r="O813" s="8" t="s">
        <v>184</v>
      </c>
      <c r="P813" s="8" t="s">
        <v>187</v>
      </c>
      <c r="Q813" s="8" t="s">
        <v>188</v>
      </c>
      <c r="R813" s="8" t="s">
        <v>317</v>
      </c>
      <c r="S813" s="8"/>
      <c r="T813" s="8"/>
      <c r="U813" s="8" t="s">
        <v>261</v>
      </c>
      <c r="V813" s="8"/>
      <c r="W813" s="8" t="s">
        <v>306</v>
      </c>
      <c r="X813" s="8" t="s">
        <v>98</v>
      </c>
      <c r="Y813" s="8" t="s">
        <v>23</v>
      </c>
    </row>
    <row r="814" spans="1:25" hidden="1" x14ac:dyDescent="0.25">
      <c r="A814" s="283" t="s">
        <v>235</v>
      </c>
      <c r="B814" s="260">
        <v>45726</v>
      </c>
      <c r="C814" s="261" t="s">
        <v>553</v>
      </c>
      <c r="D814" s="261"/>
      <c r="E814" s="262">
        <v>0</v>
      </c>
      <c r="F814" s="262">
        <v>20000</v>
      </c>
      <c r="G814" s="285">
        <f>Tabla3[[#This Row],[INGRESOS]]-Tabla3[[#This Row],[EGRESOS]]</f>
        <v>20000</v>
      </c>
      <c r="H814" s="132">
        <v>-5997765.3700000001</v>
      </c>
      <c r="I814" s="135">
        <v>1140</v>
      </c>
      <c r="J814" s="136">
        <f>Tabla3[[#This Row],[EGRESOS]]/Tabla3[[#This Row],[TC]]</f>
        <v>0</v>
      </c>
      <c r="K814" s="136">
        <f>Tabla3[[#This Row],[INGRESOS]]/Tabla3[[#This Row],[TC]]</f>
        <v>17.543859649122808</v>
      </c>
      <c r="L814" s="8" t="s">
        <v>303</v>
      </c>
      <c r="M814" s="8" t="s">
        <v>304</v>
      </c>
      <c r="N814" s="8" t="s">
        <v>20</v>
      </c>
      <c r="O814" s="8" t="s">
        <v>214</v>
      </c>
      <c r="P814" s="8" t="s">
        <v>216</v>
      </c>
      <c r="Q814" s="8" t="s">
        <v>217</v>
      </c>
      <c r="R814" s="8" t="s">
        <v>360</v>
      </c>
      <c r="S814" s="8"/>
      <c r="T814" s="8"/>
      <c r="U814" s="8" t="s">
        <v>262</v>
      </c>
      <c r="V814" s="8"/>
      <c r="W814" s="8" t="s">
        <v>306</v>
      </c>
      <c r="X814" s="8"/>
      <c r="Y814" s="8"/>
    </row>
    <row r="815" spans="1:25" hidden="1" x14ac:dyDescent="0.25">
      <c r="A815" s="283" t="s">
        <v>235</v>
      </c>
      <c r="B815" s="260">
        <v>45727</v>
      </c>
      <c r="C815" s="261" t="s">
        <v>561</v>
      </c>
      <c r="D815" s="261" t="s">
        <v>635</v>
      </c>
      <c r="E815" s="262">
        <v>500000</v>
      </c>
      <c r="F815" s="262">
        <v>0</v>
      </c>
      <c r="G815" s="285">
        <f>Tabla3[[#This Row],[INGRESOS]]-Tabla3[[#This Row],[EGRESOS]]</f>
        <v>-500000</v>
      </c>
      <c r="H815" s="132">
        <v>-6497765.3700000001</v>
      </c>
      <c r="I815" s="135">
        <v>1140</v>
      </c>
      <c r="J815" s="136">
        <f>Tabla3[[#This Row],[EGRESOS]]/Tabla3[[#This Row],[TC]]</f>
        <v>438.59649122807019</v>
      </c>
      <c r="K815" s="136">
        <f>Tabla3[[#This Row],[INGRESOS]]/Tabla3[[#This Row],[TC]]</f>
        <v>0</v>
      </c>
      <c r="L815" s="8" t="s">
        <v>303</v>
      </c>
      <c r="M815" s="8" t="s">
        <v>304</v>
      </c>
      <c r="N815" s="8" t="s">
        <v>20</v>
      </c>
      <c r="O815" s="8" t="s">
        <v>204</v>
      </c>
      <c r="P815" s="8" t="s">
        <v>210</v>
      </c>
      <c r="Q815" s="8" t="s">
        <v>230</v>
      </c>
      <c r="R815" s="8"/>
      <c r="S815" s="8" t="s">
        <v>469</v>
      </c>
      <c r="T815" s="8"/>
      <c r="U815" s="8" t="s">
        <v>258</v>
      </c>
      <c r="V815" s="8"/>
      <c r="W815" s="8" t="s">
        <v>306</v>
      </c>
      <c r="X815" s="8" t="s">
        <v>29</v>
      </c>
      <c r="Y815" s="8" t="s">
        <v>23</v>
      </c>
    </row>
    <row r="816" spans="1:25" hidden="1" x14ac:dyDescent="0.25">
      <c r="A816" s="283" t="s">
        <v>235</v>
      </c>
      <c r="B816" s="260">
        <v>45727</v>
      </c>
      <c r="C816" s="261" t="s">
        <v>636</v>
      </c>
      <c r="D816" s="261"/>
      <c r="E816" s="262">
        <v>0</v>
      </c>
      <c r="F816" s="262">
        <v>500000</v>
      </c>
      <c r="G816" s="285">
        <f>Tabla3[[#This Row],[INGRESOS]]-Tabla3[[#This Row],[EGRESOS]]</f>
        <v>500000</v>
      </c>
      <c r="H816" s="132">
        <v>-5997765.3700000001</v>
      </c>
      <c r="I816" s="135">
        <v>1140</v>
      </c>
      <c r="J816" s="136">
        <f>Tabla3[[#This Row],[EGRESOS]]/Tabla3[[#This Row],[TC]]</f>
        <v>0</v>
      </c>
      <c r="K816" s="136">
        <f>Tabla3[[#This Row],[INGRESOS]]/Tabla3[[#This Row],[TC]]</f>
        <v>438.59649122807019</v>
      </c>
      <c r="L816" s="8" t="s">
        <v>303</v>
      </c>
      <c r="M816" s="8" t="s">
        <v>304</v>
      </c>
      <c r="N816" s="8" t="s">
        <v>20</v>
      </c>
      <c r="O816" s="8" t="s">
        <v>184</v>
      </c>
      <c r="P816" s="8" t="s">
        <v>194</v>
      </c>
      <c r="Q816" s="8" t="s">
        <v>236</v>
      </c>
      <c r="R816" s="8"/>
      <c r="S816" s="8" t="s">
        <v>311</v>
      </c>
      <c r="T816" s="8"/>
      <c r="U816" s="8" t="s">
        <v>272</v>
      </c>
      <c r="V816" s="8" t="s">
        <v>311</v>
      </c>
      <c r="W816" s="8" t="s">
        <v>306</v>
      </c>
      <c r="X816" s="8" t="s">
        <v>23</v>
      </c>
      <c r="Y816" s="8" t="s">
        <v>97</v>
      </c>
    </row>
    <row r="817" spans="1:25" hidden="1" x14ac:dyDescent="0.25">
      <c r="A817" s="283" t="s">
        <v>235</v>
      </c>
      <c r="B817" s="260">
        <v>45727</v>
      </c>
      <c r="C817" s="261" t="s">
        <v>637</v>
      </c>
      <c r="D817" s="261"/>
      <c r="E817" s="262">
        <v>3000</v>
      </c>
      <c r="F817" s="262">
        <v>0</v>
      </c>
      <c r="G817" s="285">
        <f>Tabla3[[#This Row],[INGRESOS]]-Tabla3[[#This Row],[EGRESOS]]</f>
        <v>-3000</v>
      </c>
      <c r="H817" s="132">
        <v>-6000765.3700000001</v>
      </c>
      <c r="I817" s="135">
        <v>1140</v>
      </c>
      <c r="J817" s="136">
        <f>Tabla3[[#This Row],[EGRESOS]]/Tabla3[[#This Row],[TC]]</f>
        <v>2.6315789473684212</v>
      </c>
      <c r="K817" s="136">
        <f>Tabla3[[#This Row],[INGRESOS]]/Tabla3[[#This Row],[TC]]</f>
        <v>0</v>
      </c>
      <c r="L817" s="8" t="s">
        <v>303</v>
      </c>
      <c r="M817" s="8" t="s">
        <v>304</v>
      </c>
      <c r="N817" s="8" t="s">
        <v>20</v>
      </c>
      <c r="O817" s="8" t="s">
        <v>184</v>
      </c>
      <c r="P817" s="8" t="s">
        <v>187</v>
      </c>
      <c r="Q817" s="8" t="s">
        <v>188</v>
      </c>
      <c r="R817" s="8" t="s">
        <v>317</v>
      </c>
      <c r="S817" s="8"/>
      <c r="T817" s="8"/>
      <c r="U817" s="8" t="s">
        <v>261</v>
      </c>
      <c r="V817" s="8"/>
      <c r="W817" s="8" t="s">
        <v>306</v>
      </c>
      <c r="X817" s="8" t="s">
        <v>98</v>
      </c>
      <c r="Y817" s="8" t="s">
        <v>23</v>
      </c>
    </row>
    <row r="818" spans="1:25" hidden="1" x14ac:dyDescent="0.25">
      <c r="A818" s="283" t="s">
        <v>235</v>
      </c>
      <c r="B818" s="260">
        <v>45727</v>
      </c>
      <c r="C818" s="261" t="s">
        <v>637</v>
      </c>
      <c r="D818" s="261"/>
      <c r="E818" s="262">
        <v>3000</v>
      </c>
      <c r="F818" s="262">
        <v>0</v>
      </c>
      <c r="G818" s="285">
        <f>Tabla3[[#This Row],[INGRESOS]]-Tabla3[[#This Row],[EGRESOS]]</f>
        <v>-3000</v>
      </c>
      <c r="H818" s="132">
        <v>-6003765.3700000001</v>
      </c>
      <c r="I818" s="135">
        <v>1140</v>
      </c>
      <c r="J818" s="136">
        <f>Tabla3[[#This Row],[EGRESOS]]/Tabla3[[#This Row],[TC]]</f>
        <v>2.6315789473684212</v>
      </c>
      <c r="K818" s="136">
        <f>Tabla3[[#This Row],[INGRESOS]]/Tabla3[[#This Row],[TC]]</f>
        <v>0</v>
      </c>
      <c r="L818" s="8" t="s">
        <v>303</v>
      </c>
      <c r="M818" s="8" t="s">
        <v>304</v>
      </c>
      <c r="N818" s="8" t="s">
        <v>20</v>
      </c>
      <c r="O818" s="8" t="s">
        <v>184</v>
      </c>
      <c r="P818" s="8" t="s">
        <v>187</v>
      </c>
      <c r="Q818" s="8" t="s">
        <v>188</v>
      </c>
      <c r="R818" s="8" t="s">
        <v>317</v>
      </c>
      <c r="S818" s="8"/>
      <c r="T818" s="8"/>
      <c r="U818" s="8" t="s">
        <v>261</v>
      </c>
      <c r="V818" s="8"/>
      <c r="W818" s="8" t="s">
        <v>306</v>
      </c>
      <c r="X818" s="8" t="s">
        <v>98</v>
      </c>
      <c r="Y818" s="8" t="s">
        <v>23</v>
      </c>
    </row>
    <row r="819" spans="1:25" hidden="1" x14ac:dyDescent="0.25">
      <c r="A819" s="283" t="s">
        <v>235</v>
      </c>
      <c r="B819" s="260">
        <v>45728</v>
      </c>
      <c r="C819" s="261" t="s">
        <v>553</v>
      </c>
      <c r="D819" s="261"/>
      <c r="E819" s="262">
        <v>0</v>
      </c>
      <c r="F819" s="262">
        <v>5000</v>
      </c>
      <c r="G819" s="285">
        <f>Tabla3[[#This Row],[INGRESOS]]-Tabla3[[#This Row],[EGRESOS]]</f>
        <v>5000</v>
      </c>
      <c r="H819" s="132">
        <v>-5998765.3700000001</v>
      </c>
      <c r="I819" s="135">
        <v>1140</v>
      </c>
      <c r="J819" s="136">
        <f>Tabla3[[#This Row],[EGRESOS]]/Tabla3[[#This Row],[TC]]</f>
        <v>0</v>
      </c>
      <c r="K819" s="136">
        <f>Tabla3[[#This Row],[INGRESOS]]/Tabla3[[#This Row],[TC]]</f>
        <v>4.3859649122807021</v>
      </c>
      <c r="L819" s="8" t="s">
        <v>303</v>
      </c>
      <c r="M819" s="8" t="s">
        <v>304</v>
      </c>
      <c r="N819" s="8" t="s">
        <v>20</v>
      </c>
      <c r="O819" s="8" t="s">
        <v>214</v>
      </c>
      <c r="P819" s="8" t="s">
        <v>216</v>
      </c>
      <c r="Q819" s="8" t="s">
        <v>217</v>
      </c>
      <c r="R819" s="8" t="s">
        <v>360</v>
      </c>
      <c r="S819" s="8"/>
      <c r="T819" s="8"/>
      <c r="U819" s="8" t="s">
        <v>262</v>
      </c>
      <c r="V819" s="8"/>
      <c r="W819" s="8" t="s">
        <v>306</v>
      </c>
      <c r="X819" s="8"/>
      <c r="Y819" s="8"/>
    </row>
    <row r="820" spans="1:25" hidden="1" x14ac:dyDescent="0.25">
      <c r="A820" s="283" t="s">
        <v>235</v>
      </c>
      <c r="B820" s="260">
        <v>45733</v>
      </c>
      <c r="C820" s="261" t="s">
        <v>571</v>
      </c>
      <c r="D820" s="261"/>
      <c r="E820" s="262">
        <v>121</v>
      </c>
      <c r="F820" s="262">
        <v>0</v>
      </c>
      <c r="G820" s="285">
        <f>Tabla3[[#This Row],[INGRESOS]]-Tabla3[[#This Row],[EGRESOS]]</f>
        <v>-121</v>
      </c>
      <c r="H820" s="132">
        <v>-6650017.6900000004</v>
      </c>
      <c r="I820" s="135">
        <v>1140</v>
      </c>
      <c r="J820" s="136">
        <f>Tabla3[[#This Row],[EGRESOS]]/Tabla3[[#This Row],[TC]]</f>
        <v>0.10614035087719298</v>
      </c>
      <c r="K820" s="136">
        <f>Tabla3[[#This Row],[INGRESOS]]/Tabla3[[#This Row],[TC]]</f>
        <v>0</v>
      </c>
      <c r="L820" s="8" t="s">
        <v>303</v>
      </c>
      <c r="M820" s="8" t="s">
        <v>304</v>
      </c>
      <c r="N820" s="8" t="s">
        <v>20</v>
      </c>
      <c r="O820" s="8" t="s">
        <v>184</v>
      </c>
      <c r="P820" s="8" t="s">
        <v>185</v>
      </c>
      <c r="Q820" s="8" t="s">
        <v>186</v>
      </c>
      <c r="R820" s="8"/>
      <c r="S820" s="8"/>
      <c r="T820" s="8"/>
      <c r="U820" s="8" t="s">
        <v>261</v>
      </c>
      <c r="V820" s="8"/>
      <c r="W820" s="8" t="s">
        <v>306</v>
      </c>
      <c r="X820" s="8" t="s">
        <v>98</v>
      </c>
      <c r="Y820" s="8" t="s">
        <v>23</v>
      </c>
    </row>
    <row r="821" spans="1:25" hidden="1" x14ac:dyDescent="0.25">
      <c r="A821" s="283" t="s">
        <v>235</v>
      </c>
      <c r="B821" s="260">
        <v>45733</v>
      </c>
      <c r="C821" s="261" t="s">
        <v>637</v>
      </c>
      <c r="D821" s="261"/>
      <c r="E821" s="262">
        <v>3828.73</v>
      </c>
      <c r="F821" s="262">
        <v>0</v>
      </c>
      <c r="G821" s="285">
        <f>Tabla3[[#This Row],[INGRESOS]]-Tabla3[[#This Row],[EGRESOS]]</f>
        <v>-3828.73</v>
      </c>
      <c r="H821" s="132">
        <v>-6653846.4199999999</v>
      </c>
      <c r="I821" s="135">
        <v>1140</v>
      </c>
      <c r="J821" s="136">
        <f>Tabla3[[#This Row],[EGRESOS]]/Tabla3[[#This Row],[TC]]</f>
        <v>3.3585350877192983</v>
      </c>
      <c r="K821" s="136">
        <f>Tabla3[[#This Row],[INGRESOS]]/Tabla3[[#This Row],[TC]]</f>
        <v>0</v>
      </c>
      <c r="L821" s="8" t="s">
        <v>303</v>
      </c>
      <c r="M821" s="8" t="s">
        <v>304</v>
      </c>
      <c r="N821" s="8" t="s">
        <v>20</v>
      </c>
      <c r="O821" s="8" t="s">
        <v>184</v>
      </c>
      <c r="P821" s="8" t="s">
        <v>187</v>
      </c>
      <c r="Q821" s="8" t="s">
        <v>188</v>
      </c>
      <c r="R821" s="8" t="s">
        <v>317</v>
      </c>
      <c r="S821" s="8"/>
      <c r="T821" s="8"/>
      <c r="U821" s="8" t="s">
        <v>261</v>
      </c>
      <c r="V821" s="8"/>
      <c r="W821" s="8" t="s">
        <v>306</v>
      </c>
      <c r="X821" s="8" t="s">
        <v>98</v>
      </c>
      <c r="Y821" s="8" t="s">
        <v>23</v>
      </c>
    </row>
    <row r="822" spans="1:25" hidden="1" x14ac:dyDescent="0.25">
      <c r="A822" s="283" t="s">
        <v>235</v>
      </c>
      <c r="B822" s="260">
        <v>45733</v>
      </c>
      <c r="C822" s="261" t="s">
        <v>542</v>
      </c>
      <c r="D822" s="261"/>
      <c r="E822" s="262">
        <v>638000</v>
      </c>
      <c r="F822" s="262">
        <v>0</v>
      </c>
      <c r="G822" s="285">
        <f>Tabla3[[#This Row],[INGRESOS]]-Tabla3[[#This Row],[EGRESOS]]</f>
        <v>-638000</v>
      </c>
      <c r="H822" s="132">
        <v>-6649896.6900000004</v>
      </c>
      <c r="I822" s="135">
        <v>1140</v>
      </c>
      <c r="J822" s="136">
        <f>Tabla3[[#This Row],[EGRESOS]]/Tabla3[[#This Row],[TC]]</f>
        <v>559.64912280701753</v>
      </c>
      <c r="K822" s="136">
        <f>Tabla3[[#This Row],[INGRESOS]]/Tabla3[[#This Row],[TC]]</f>
        <v>0</v>
      </c>
      <c r="L822" s="8" t="s">
        <v>303</v>
      </c>
      <c r="M822" s="8" t="s">
        <v>304</v>
      </c>
      <c r="N822" s="8" t="s">
        <v>20</v>
      </c>
      <c r="O822" s="8" t="s">
        <v>184</v>
      </c>
      <c r="P822" s="8" t="s">
        <v>194</v>
      </c>
      <c r="Q822" s="8" t="s">
        <v>195</v>
      </c>
      <c r="R822" s="8"/>
      <c r="S822" s="8" t="s">
        <v>331</v>
      </c>
      <c r="T822" s="8"/>
      <c r="U822" s="8" t="s">
        <v>267</v>
      </c>
      <c r="V822" s="8" t="s">
        <v>332</v>
      </c>
      <c r="W822" s="8" t="s">
        <v>306</v>
      </c>
      <c r="X822" s="8" t="s">
        <v>101</v>
      </c>
      <c r="Y822" s="8" t="s">
        <v>23</v>
      </c>
    </row>
    <row r="823" spans="1:25" hidden="1" x14ac:dyDescent="0.25">
      <c r="A823" s="380" t="s">
        <v>235</v>
      </c>
      <c r="B823" s="381">
        <v>45734</v>
      </c>
      <c r="C823" s="382" t="s">
        <v>521</v>
      </c>
      <c r="D823" s="382" t="s">
        <v>638</v>
      </c>
      <c r="E823" s="262">
        <v>1356000</v>
      </c>
      <c r="F823" s="383">
        <v>0</v>
      </c>
      <c r="G823" s="384">
        <f>Tabla3[[#This Row],[INGRESOS]]-Tabla3[[#This Row],[EGRESOS]]</f>
        <v>-1356000</v>
      </c>
      <c r="H823" s="376">
        <v>-8009846.4199999999</v>
      </c>
      <c r="I823" s="383">
        <v>1140</v>
      </c>
      <c r="J823" s="385">
        <f>Tabla3[[#This Row],[EGRESOS]]/Tabla3[[#This Row],[TC]]</f>
        <v>1189.4736842105262</v>
      </c>
      <c r="K823" s="385">
        <f>Tabla3[[#This Row],[INGRESOS]]/Tabla3[[#This Row],[TC]]</f>
        <v>0</v>
      </c>
      <c r="L823" s="382" t="s">
        <v>303</v>
      </c>
      <c r="M823" s="382" t="s">
        <v>304</v>
      </c>
      <c r="N823" s="382" t="s">
        <v>20</v>
      </c>
      <c r="O823" s="382" t="s">
        <v>197</v>
      </c>
      <c r="P823" s="382" t="s">
        <v>198</v>
      </c>
      <c r="Q823" s="382" t="s">
        <v>201</v>
      </c>
      <c r="R823" s="382" t="s">
        <v>203</v>
      </c>
      <c r="S823" s="382" t="s">
        <v>526</v>
      </c>
      <c r="T823" s="382" t="s">
        <v>639</v>
      </c>
      <c r="U823" s="382" t="s">
        <v>258</v>
      </c>
      <c r="V823" s="382"/>
      <c r="W823" s="382" t="s">
        <v>306</v>
      </c>
      <c r="X823" s="382" t="s">
        <v>29</v>
      </c>
      <c r="Y823" s="382" t="s">
        <v>23</v>
      </c>
    </row>
    <row r="824" spans="1:25" hidden="1" x14ac:dyDescent="0.25">
      <c r="A824" s="283" t="s">
        <v>235</v>
      </c>
      <c r="B824" s="260">
        <v>45734</v>
      </c>
      <c r="C824" s="261" t="s">
        <v>521</v>
      </c>
      <c r="D824" s="261" t="s">
        <v>640</v>
      </c>
      <c r="E824" s="262">
        <v>814644.6</v>
      </c>
      <c r="F824" s="262">
        <v>0</v>
      </c>
      <c r="G824" s="285">
        <f>Tabla3[[#This Row],[INGRESOS]]-Tabla3[[#This Row],[EGRESOS]]</f>
        <v>-814644.6</v>
      </c>
      <c r="H824" s="132">
        <v>-8824491.0199999996</v>
      </c>
      <c r="I824" s="135">
        <v>1140</v>
      </c>
      <c r="J824" s="136">
        <f>Tabla3[[#This Row],[EGRESOS]]/Tabla3[[#This Row],[TC]]</f>
        <v>714.60052631578947</v>
      </c>
      <c r="K824" s="136">
        <f>Tabla3[[#This Row],[INGRESOS]]/Tabla3[[#This Row],[TC]]</f>
        <v>0</v>
      </c>
      <c r="L824" s="8" t="s">
        <v>303</v>
      </c>
      <c r="M824" s="8" t="s">
        <v>304</v>
      </c>
      <c r="N824" s="8" t="s">
        <v>20</v>
      </c>
      <c r="O824" s="8" t="s">
        <v>204</v>
      </c>
      <c r="P824" s="8" t="s">
        <v>208</v>
      </c>
      <c r="Q824" s="8" t="s">
        <v>228</v>
      </c>
      <c r="R824" s="8"/>
      <c r="S824" s="8" t="s">
        <v>641</v>
      </c>
      <c r="T824" s="8" t="s">
        <v>642</v>
      </c>
      <c r="U824" s="8" t="s">
        <v>258</v>
      </c>
      <c r="V824" s="8"/>
      <c r="W824" s="8" t="s">
        <v>306</v>
      </c>
      <c r="X824" s="8" t="s">
        <v>29</v>
      </c>
      <c r="Y824" s="8" t="s">
        <v>23</v>
      </c>
    </row>
    <row r="825" spans="1:25" hidden="1" x14ac:dyDescent="0.25">
      <c r="A825" s="283" t="s">
        <v>235</v>
      </c>
      <c r="B825" s="260">
        <v>45734</v>
      </c>
      <c r="C825" s="261" t="s">
        <v>542</v>
      </c>
      <c r="D825" s="261"/>
      <c r="E825" s="262">
        <v>500000</v>
      </c>
      <c r="F825" s="262">
        <v>0</v>
      </c>
      <c r="G825" s="285">
        <f>Tabla3[[#This Row],[INGRESOS]]-Tabla3[[#This Row],[EGRESOS]]</f>
        <v>-500000</v>
      </c>
      <c r="H825" s="132">
        <v>-9324491.0199999996</v>
      </c>
      <c r="I825" s="135">
        <v>1140</v>
      </c>
      <c r="J825" s="136">
        <f>Tabla3[[#This Row],[EGRESOS]]/Tabla3[[#This Row],[TC]]</f>
        <v>438.59649122807019</v>
      </c>
      <c r="K825" s="136">
        <f>Tabla3[[#This Row],[INGRESOS]]/Tabla3[[#This Row],[TC]]</f>
        <v>0</v>
      </c>
      <c r="L825" s="8" t="s">
        <v>303</v>
      </c>
      <c r="M825" s="8" t="s">
        <v>304</v>
      </c>
      <c r="N825" s="8" t="s">
        <v>20</v>
      </c>
      <c r="O825" s="8" t="s">
        <v>184</v>
      </c>
      <c r="P825" s="8" t="s">
        <v>194</v>
      </c>
      <c r="Q825" s="8" t="s">
        <v>196</v>
      </c>
      <c r="R825" s="8" t="s">
        <v>643</v>
      </c>
      <c r="S825" s="8" t="s">
        <v>311</v>
      </c>
      <c r="T825" s="8"/>
      <c r="U825" s="8" t="s">
        <v>277</v>
      </c>
      <c r="V825" s="8" t="s">
        <v>311</v>
      </c>
      <c r="W825" s="8" t="s">
        <v>306</v>
      </c>
      <c r="X825" s="8" t="s">
        <v>103</v>
      </c>
      <c r="Y825" s="8" t="s">
        <v>23</v>
      </c>
    </row>
    <row r="826" spans="1:25" hidden="1" x14ac:dyDescent="0.25">
      <c r="A826" s="283" t="s">
        <v>235</v>
      </c>
      <c r="B826" s="260">
        <v>45734</v>
      </c>
      <c r="C826" s="261" t="s">
        <v>571</v>
      </c>
      <c r="D826" s="261"/>
      <c r="E826" s="262">
        <v>121</v>
      </c>
      <c r="F826" s="262">
        <v>0</v>
      </c>
      <c r="G826" s="285">
        <f>Tabla3[[#This Row],[INGRESOS]]-Tabla3[[#This Row],[EGRESOS]]</f>
        <v>-121</v>
      </c>
      <c r="H826" s="132">
        <v>-9324612.0199999996</v>
      </c>
      <c r="I826" s="135">
        <v>1140</v>
      </c>
      <c r="J826" s="136">
        <f>Tabla3[[#This Row],[EGRESOS]]/Tabla3[[#This Row],[TC]]</f>
        <v>0.10614035087719298</v>
      </c>
      <c r="K826" s="136">
        <f>Tabla3[[#This Row],[INGRESOS]]/Tabla3[[#This Row],[TC]]</f>
        <v>0</v>
      </c>
      <c r="L826" s="8" t="s">
        <v>303</v>
      </c>
      <c r="M826" s="8" t="s">
        <v>304</v>
      </c>
      <c r="N826" s="8" t="s">
        <v>20</v>
      </c>
      <c r="O826" s="8" t="s">
        <v>184</v>
      </c>
      <c r="P826" s="8" t="s">
        <v>185</v>
      </c>
      <c r="Q826" s="8" t="s">
        <v>186</v>
      </c>
      <c r="R826" s="8"/>
      <c r="S826" s="8"/>
      <c r="T826" s="8"/>
      <c r="U826" s="8" t="s">
        <v>261</v>
      </c>
      <c r="V826" s="8"/>
      <c r="W826" s="8" t="s">
        <v>306</v>
      </c>
      <c r="X826" s="8" t="s">
        <v>98</v>
      </c>
      <c r="Y826" s="8" t="s">
        <v>23</v>
      </c>
    </row>
    <row r="827" spans="1:25" hidden="1" x14ac:dyDescent="0.25">
      <c r="A827" s="283" t="s">
        <v>235</v>
      </c>
      <c r="B827" s="260">
        <v>45734</v>
      </c>
      <c r="C827" s="261" t="s">
        <v>323</v>
      </c>
      <c r="D827" s="261"/>
      <c r="E827" s="262">
        <v>760000</v>
      </c>
      <c r="F827" s="262">
        <v>0</v>
      </c>
      <c r="G827" s="285">
        <f>Tabla3[[#This Row],[INGRESOS]]-Tabla3[[#This Row],[EGRESOS]]</f>
        <v>-760000</v>
      </c>
      <c r="H827" s="132">
        <v>-10084612.02</v>
      </c>
      <c r="I827" s="135">
        <v>1140</v>
      </c>
      <c r="J827" s="136">
        <f>Tabla3[[#This Row],[EGRESOS]]/Tabla3[[#This Row],[TC]]</f>
        <v>666.66666666666663</v>
      </c>
      <c r="K827" s="136">
        <f>Tabla3[[#This Row],[INGRESOS]]/Tabla3[[#This Row],[TC]]</f>
        <v>0</v>
      </c>
      <c r="L827" s="8" t="s">
        <v>303</v>
      </c>
      <c r="M827" s="8" t="s">
        <v>304</v>
      </c>
      <c r="N827" s="8" t="s">
        <v>20</v>
      </c>
      <c r="O827" s="8" t="s">
        <v>214</v>
      </c>
      <c r="P827" s="8" t="s">
        <v>216</v>
      </c>
      <c r="Q827" s="8" t="s">
        <v>217</v>
      </c>
      <c r="R827" s="8" t="s">
        <v>357</v>
      </c>
      <c r="S827" s="8"/>
      <c r="T827" s="8"/>
      <c r="U827" s="8" t="s">
        <v>262</v>
      </c>
      <c r="V827" s="8"/>
      <c r="W827" s="8" t="s">
        <v>306</v>
      </c>
      <c r="X827" s="8"/>
      <c r="Y827" s="8"/>
    </row>
    <row r="828" spans="1:25" hidden="1" x14ac:dyDescent="0.25">
      <c r="A828" s="283" t="s">
        <v>235</v>
      </c>
      <c r="B828" s="260">
        <v>45734</v>
      </c>
      <c r="C828" s="261" t="s">
        <v>571</v>
      </c>
      <c r="D828" s="261"/>
      <c r="E828" s="262">
        <v>121</v>
      </c>
      <c r="F828" s="262">
        <v>0</v>
      </c>
      <c r="G828" s="285">
        <f>Tabla3[[#This Row],[INGRESOS]]-Tabla3[[#This Row],[EGRESOS]]</f>
        <v>-121</v>
      </c>
      <c r="H828" s="132">
        <v>-10084733.02</v>
      </c>
      <c r="I828" s="135">
        <v>1140</v>
      </c>
      <c r="J828" s="136">
        <f>Tabla3[[#This Row],[EGRESOS]]/Tabla3[[#This Row],[TC]]</f>
        <v>0.10614035087719298</v>
      </c>
      <c r="K828" s="136">
        <f>Tabla3[[#This Row],[INGRESOS]]/Tabla3[[#This Row],[TC]]</f>
        <v>0</v>
      </c>
      <c r="L828" s="8" t="s">
        <v>303</v>
      </c>
      <c r="M828" s="8" t="s">
        <v>304</v>
      </c>
      <c r="N828" s="8" t="s">
        <v>20</v>
      </c>
      <c r="O828" s="8" t="s">
        <v>184</v>
      </c>
      <c r="P828" s="8" t="s">
        <v>185</v>
      </c>
      <c r="Q828" s="8" t="s">
        <v>186</v>
      </c>
      <c r="R828" s="8"/>
      <c r="S828" s="8"/>
      <c r="T828" s="8"/>
      <c r="U828" s="8" t="s">
        <v>261</v>
      </c>
      <c r="V828" s="8"/>
      <c r="W828" s="8" t="s">
        <v>306</v>
      </c>
      <c r="X828" s="8" t="s">
        <v>98</v>
      </c>
      <c r="Y828" s="8" t="s">
        <v>23</v>
      </c>
    </row>
    <row r="829" spans="1:25" hidden="1" x14ac:dyDescent="0.25">
      <c r="A829" s="283" t="s">
        <v>235</v>
      </c>
      <c r="B829" s="260">
        <v>45734</v>
      </c>
      <c r="C829" s="261" t="s">
        <v>542</v>
      </c>
      <c r="D829" s="261"/>
      <c r="E829" s="262">
        <v>1000000</v>
      </c>
      <c r="F829" s="262">
        <v>0</v>
      </c>
      <c r="G829" s="285">
        <f>Tabla3[[#This Row],[INGRESOS]]-Tabla3[[#This Row],[EGRESOS]]</f>
        <v>-1000000</v>
      </c>
      <c r="H829" s="132">
        <v>-11084733.02</v>
      </c>
      <c r="I829" s="135">
        <v>1140</v>
      </c>
      <c r="J829" s="136">
        <f>Tabla3[[#This Row],[EGRESOS]]/Tabla3[[#This Row],[TC]]</f>
        <v>877.19298245614038</v>
      </c>
      <c r="K829" s="136">
        <f>Tabla3[[#This Row],[INGRESOS]]/Tabla3[[#This Row],[TC]]</f>
        <v>0</v>
      </c>
      <c r="L829" s="8" t="s">
        <v>303</v>
      </c>
      <c r="M829" s="8" t="s">
        <v>304</v>
      </c>
      <c r="N829" s="8" t="s">
        <v>20</v>
      </c>
      <c r="O829" s="8" t="s">
        <v>184</v>
      </c>
      <c r="P829" s="8" t="s">
        <v>194</v>
      </c>
      <c r="Q829" s="8" t="s">
        <v>196</v>
      </c>
      <c r="R829" s="8"/>
      <c r="S829" s="8" t="s">
        <v>311</v>
      </c>
      <c r="T829" s="8"/>
      <c r="U829" s="8" t="s">
        <v>277</v>
      </c>
      <c r="V829" s="8" t="s">
        <v>311</v>
      </c>
      <c r="W829" s="8" t="s">
        <v>306</v>
      </c>
      <c r="X829" s="8" t="s">
        <v>103</v>
      </c>
      <c r="Y829" s="8" t="s">
        <v>23</v>
      </c>
    </row>
    <row r="830" spans="1:25" hidden="1" x14ac:dyDescent="0.25">
      <c r="A830" s="283" t="s">
        <v>235</v>
      </c>
      <c r="B830" s="260">
        <v>45734</v>
      </c>
      <c r="C830" s="261" t="s">
        <v>571</v>
      </c>
      <c r="D830" s="261"/>
      <c r="E830" s="262">
        <v>121</v>
      </c>
      <c r="F830" s="262">
        <v>0</v>
      </c>
      <c r="G830" s="285">
        <f>Tabla3[[#This Row],[INGRESOS]]-Tabla3[[#This Row],[EGRESOS]]</f>
        <v>-121</v>
      </c>
      <c r="H830" s="132">
        <v>-11084854.02</v>
      </c>
      <c r="I830" s="135">
        <v>1140</v>
      </c>
      <c r="J830" s="136">
        <f>Tabla3[[#This Row],[EGRESOS]]/Tabla3[[#This Row],[TC]]</f>
        <v>0.10614035087719298</v>
      </c>
      <c r="K830" s="136">
        <f>Tabla3[[#This Row],[INGRESOS]]/Tabla3[[#This Row],[TC]]</f>
        <v>0</v>
      </c>
      <c r="L830" s="8" t="s">
        <v>303</v>
      </c>
      <c r="M830" s="8" t="s">
        <v>304</v>
      </c>
      <c r="N830" s="8" t="s">
        <v>20</v>
      </c>
      <c r="O830" s="8" t="s">
        <v>184</v>
      </c>
      <c r="P830" s="8" t="s">
        <v>185</v>
      </c>
      <c r="Q830" s="8" t="s">
        <v>186</v>
      </c>
      <c r="R830" s="8"/>
      <c r="S830" s="8"/>
      <c r="T830" s="8"/>
      <c r="U830" s="8" t="s">
        <v>261</v>
      </c>
      <c r="V830" s="8"/>
      <c r="W830" s="8" t="s">
        <v>306</v>
      </c>
      <c r="X830" s="8" t="s">
        <v>98</v>
      </c>
      <c r="Y830" s="8" t="s">
        <v>23</v>
      </c>
    </row>
    <row r="831" spans="1:25" hidden="1" x14ac:dyDescent="0.25">
      <c r="A831" s="283" t="s">
        <v>235</v>
      </c>
      <c r="B831" s="260">
        <v>45734</v>
      </c>
      <c r="C831" s="261" t="s">
        <v>542</v>
      </c>
      <c r="D831" s="261"/>
      <c r="E831" s="262">
        <v>500000</v>
      </c>
      <c r="F831" s="262">
        <v>0</v>
      </c>
      <c r="G831" s="285">
        <f>Tabla3[[#This Row],[INGRESOS]]-Tabla3[[#This Row],[EGRESOS]]</f>
        <v>-500000</v>
      </c>
      <c r="H831" s="137">
        <v>-11084853.02</v>
      </c>
      <c r="I831" s="135">
        <v>1141</v>
      </c>
      <c r="J831" s="136">
        <f>Tabla3[[#This Row],[EGRESOS]]/Tabla3[[#This Row],[TC]]</f>
        <v>438.21209465381247</v>
      </c>
      <c r="K831" s="136">
        <f>Tabla3[[#This Row],[INGRESOS]]/Tabla3[[#This Row],[TC]]</f>
        <v>0</v>
      </c>
      <c r="L831" s="8" t="s">
        <v>303</v>
      </c>
      <c r="M831" s="8" t="s">
        <v>304</v>
      </c>
      <c r="N831" s="8" t="s">
        <v>20</v>
      </c>
      <c r="O831" s="8" t="s">
        <v>214</v>
      </c>
      <c r="P831" s="8" t="s">
        <v>216</v>
      </c>
      <c r="Q831" s="8" t="s">
        <v>217</v>
      </c>
      <c r="R831" s="8" t="s">
        <v>466</v>
      </c>
      <c r="S831" s="8"/>
      <c r="T831" s="8"/>
      <c r="U831" s="8" t="s">
        <v>262</v>
      </c>
      <c r="V831" s="8"/>
      <c r="W831" s="8" t="s">
        <v>306</v>
      </c>
      <c r="X831" s="8"/>
      <c r="Y831" s="8"/>
    </row>
    <row r="832" spans="1:25" hidden="1" x14ac:dyDescent="0.25">
      <c r="A832" s="283" t="s">
        <v>235</v>
      </c>
      <c r="B832" s="260">
        <v>45734</v>
      </c>
      <c r="C832" s="261" t="s">
        <v>542</v>
      </c>
      <c r="D832" s="261"/>
      <c r="E832" s="262">
        <v>5400</v>
      </c>
      <c r="F832" s="262">
        <v>0</v>
      </c>
      <c r="G832" s="285">
        <f>Tabla3[[#This Row],[INGRESOS]]-Tabla3[[#This Row],[EGRESOS]]</f>
        <v>-5400</v>
      </c>
      <c r="H832" s="137">
        <v>-11584975.02</v>
      </c>
      <c r="I832" s="135">
        <v>1140</v>
      </c>
      <c r="J832" s="136">
        <f>Tabla3[[#This Row],[EGRESOS]]/Tabla3[[#This Row],[TC]]</f>
        <v>4.7368421052631575</v>
      </c>
      <c r="K832" s="136">
        <f>Tabla3[[#This Row],[INGRESOS]]/Tabla3[[#This Row],[TC]]</f>
        <v>0</v>
      </c>
      <c r="L832" s="8" t="s">
        <v>303</v>
      </c>
      <c r="M832" s="8" t="s">
        <v>304</v>
      </c>
      <c r="N832" s="8" t="s">
        <v>20</v>
      </c>
      <c r="O832" s="8" t="s">
        <v>204</v>
      </c>
      <c r="P832" s="8" t="s">
        <v>208</v>
      </c>
      <c r="Q832" s="8"/>
      <c r="R832" s="8"/>
      <c r="S832" s="8"/>
      <c r="T832" s="8"/>
      <c r="U832" s="8" t="s">
        <v>260</v>
      </c>
      <c r="V832" s="8"/>
      <c r="W832" s="8" t="s">
        <v>306</v>
      </c>
      <c r="X832" s="8" t="s">
        <v>29</v>
      </c>
      <c r="Y832" s="8" t="s">
        <v>23</v>
      </c>
    </row>
    <row r="833" spans="1:25" hidden="1" x14ac:dyDescent="0.25">
      <c r="A833" s="283" t="s">
        <v>235</v>
      </c>
      <c r="B833" s="260">
        <v>45734</v>
      </c>
      <c r="C833" s="261" t="s">
        <v>542</v>
      </c>
      <c r="D833" s="261"/>
      <c r="E833" s="262">
        <v>150000</v>
      </c>
      <c r="F833" s="262">
        <v>0</v>
      </c>
      <c r="G833" s="285">
        <f>Tabla3[[#This Row],[INGRESOS]]-Tabla3[[#This Row],[EGRESOS]]</f>
        <v>-150000</v>
      </c>
      <c r="H833" s="137">
        <v>-11584975.02</v>
      </c>
      <c r="I833" s="135">
        <v>1140</v>
      </c>
      <c r="J833" s="136">
        <f>Tabla3[[#This Row],[EGRESOS]]/Tabla3[[#This Row],[TC]]</f>
        <v>131.57894736842104</v>
      </c>
      <c r="K833" s="136">
        <f>Tabla3[[#This Row],[INGRESOS]]/Tabla3[[#This Row],[TC]]</f>
        <v>0</v>
      </c>
      <c r="L833" s="8" t="s">
        <v>303</v>
      </c>
      <c r="M833" s="8" t="s">
        <v>304</v>
      </c>
      <c r="N833" s="8" t="s">
        <v>20</v>
      </c>
      <c r="O833" s="8" t="s">
        <v>184</v>
      </c>
      <c r="P833" s="8" t="s">
        <v>191</v>
      </c>
      <c r="Q833" s="8" t="s">
        <v>192</v>
      </c>
      <c r="R833" s="7"/>
      <c r="S833" s="8" t="s">
        <v>349</v>
      </c>
      <c r="T833" s="8"/>
      <c r="U833" s="8" t="s">
        <v>266</v>
      </c>
      <c r="V833" s="8"/>
      <c r="W833" s="8" t="s">
        <v>306</v>
      </c>
      <c r="X833" s="8" t="s">
        <v>29</v>
      </c>
      <c r="Y833" s="8" t="s">
        <v>23</v>
      </c>
    </row>
    <row r="834" spans="1:25" hidden="1" x14ac:dyDescent="0.25">
      <c r="A834" s="283" t="s">
        <v>235</v>
      </c>
      <c r="B834" s="260">
        <v>45734</v>
      </c>
      <c r="C834" s="261" t="s">
        <v>542</v>
      </c>
      <c r="D834" s="261"/>
      <c r="E834" s="262">
        <v>150000</v>
      </c>
      <c r="F834" s="262">
        <v>0</v>
      </c>
      <c r="G834" s="285">
        <f>Tabla3[[#This Row],[INGRESOS]]-Tabla3[[#This Row],[EGRESOS]]</f>
        <v>-150000</v>
      </c>
      <c r="H834" s="137">
        <v>-11584975.02</v>
      </c>
      <c r="I834" s="135">
        <v>1140</v>
      </c>
      <c r="J834" s="136">
        <f>Tabla3[[#This Row],[EGRESOS]]/Tabla3[[#This Row],[TC]]</f>
        <v>131.57894736842104</v>
      </c>
      <c r="K834" s="136">
        <f>Tabla3[[#This Row],[INGRESOS]]/Tabla3[[#This Row],[TC]]</f>
        <v>0</v>
      </c>
      <c r="L834" s="8" t="s">
        <v>303</v>
      </c>
      <c r="M834" s="8" t="s">
        <v>304</v>
      </c>
      <c r="N834" s="8" t="s">
        <v>20</v>
      </c>
      <c r="O834" s="8" t="s">
        <v>184</v>
      </c>
      <c r="P834" s="8" t="s">
        <v>191</v>
      </c>
      <c r="Q834" s="8" t="s">
        <v>192</v>
      </c>
      <c r="R834" s="7"/>
      <c r="S834" s="8" t="s">
        <v>414</v>
      </c>
      <c r="T834" s="8"/>
      <c r="U834" s="8" t="s">
        <v>266</v>
      </c>
      <c r="V834" s="8"/>
      <c r="W834" s="8" t="s">
        <v>306</v>
      </c>
      <c r="X834" s="8" t="s">
        <v>29</v>
      </c>
      <c r="Y834" s="8" t="s">
        <v>23</v>
      </c>
    </row>
    <row r="835" spans="1:25" hidden="1" x14ac:dyDescent="0.25">
      <c r="A835" s="283" t="s">
        <v>235</v>
      </c>
      <c r="B835" s="260">
        <v>45734</v>
      </c>
      <c r="C835" s="261" t="s">
        <v>542</v>
      </c>
      <c r="D835" s="261"/>
      <c r="E835" s="262">
        <v>350000</v>
      </c>
      <c r="F835" s="262">
        <v>0</v>
      </c>
      <c r="G835" s="285">
        <f>Tabla3[[#This Row],[INGRESOS]]-Tabla3[[#This Row],[EGRESOS]]</f>
        <v>-350000</v>
      </c>
      <c r="H835" s="137">
        <v>-11584975.02</v>
      </c>
      <c r="I835" s="135">
        <v>1140</v>
      </c>
      <c r="J835" s="136">
        <f>Tabla3[[#This Row],[EGRESOS]]/Tabla3[[#This Row],[TC]]</f>
        <v>307.01754385964909</v>
      </c>
      <c r="K835" s="136">
        <f>Tabla3[[#This Row],[INGRESOS]]/Tabla3[[#This Row],[TC]]</f>
        <v>0</v>
      </c>
      <c r="L835" s="8" t="s">
        <v>303</v>
      </c>
      <c r="M835" s="8" t="s">
        <v>304</v>
      </c>
      <c r="N835" s="8" t="s">
        <v>20</v>
      </c>
      <c r="O835" s="8" t="s">
        <v>184</v>
      </c>
      <c r="P835" s="8" t="s">
        <v>237</v>
      </c>
      <c r="Q835" s="8" t="s">
        <v>248</v>
      </c>
      <c r="R835" s="8" t="s">
        <v>644</v>
      </c>
      <c r="S835" s="8" t="s">
        <v>418</v>
      </c>
      <c r="T835" s="8"/>
      <c r="U835" s="8" t="s">
        <v>273</v>
      </c>
      <c r="V835" s="8"/>
      <c r="W835" s="8" t="s">
        <v>306</v>
      </c>
      <c r="X835" s="8" t="s">
        <v>39</v>
      </c>
      <c r="Y835" s="8" t="s">
        <v>23</v>
      </c>
    </row>
    <row r="836" spans="1:25" hidden="1" x14ac:dyDescent="0.25">
      <c r="A836" s="283" t="s">
        <v>235</v>
      </c>
      <c r="B836" s="260">
        <v>45734</v>
      </c>
      <c r="C836" s="261" t="s">
        <v>542</v>
      </c>
      <c r="D836" s="261"/>
      <c r="E836" s="262">
        <v>447000</v>
      </c>
      <c r="F836" s="262">
        <v>0</v>
      </c>
      <c r="G836" s="285">
        <f>Tabla3[[#This Row],[INGRESOS]]-Tabla3[[#This Row],[EGRESOS]]</f>
        <v>-447000</v>
      </c>
      <c r="H836" s="137">
        <v>-11584975.02</v>
      </c>
      <c r="I836" s="135">
        <v>1140</v>
      </c>
      <c r="J836" s="136">
        <f>Tabla3[[#This Row],[EGRESOS]]/Tabla3[[#This Row],[TC]]</f>
        <v>392.10526315789474</v>
      </c>
      <c r="K836" s="136">
        <f>Tabla3[[#This Row],[INGRESOS]]/Tabla3[[#This Row],[TC]]</f>
        <v>0</v>
      </c>
      <c r="L836" s="8" t="s">
        <v>303</v>
      </c>
      <c r="M836" s="8" t="s">
        <v>304</v>
      </c>
      <c r="N836" s="8" t="s">
        <v>20</v>
      </c>
      <c r="O836" s="8" t="s">
        <v>184</v>
      </c>
      <c r="P836" s="8" t="s">
        <v>191</v>
      </c>
      <c r="Q836" s="8" t="s">
        <v>193</v>
      </c>
      <c r="R836" s="8" t="s">
        <v>645</v>
      </c>
      <c r="S836" s="8" t="s">
        <v>315</v>
      </c>
      <c r="T836" s="8"/>
      <c r="U836" s="8" t="s">
        <v>266</v>
      </c>
      <c r="V836" s="8"/>
      <c r="W836" s="8" t="s">
        <v>306</v>
      </c>
      <c r="X836" s="8" t="s">
        <v>98</v>
      </c>
      <c r="Y836" s="8" t="s">
        <v>23</v>
      </c>
    </row>
    <row r="837" spans="1:25" hidden="1" x14ac:dyDescent="0.25">
      <c r="A837" s="283" t="s">
        <v>235</v>
      </c>
      <c r="B837" s="260">
        <v>45734</v>
      </c>
      <c r="C837" s="261" t="s">
        <v>542</v>
      </c>
      <c r="D837" s="261"/>
      <c r="E837" s="262">
        <v>45000</v>
      </c>
      <c r="F837" s="262">
        <v>0</v>
      </c>
      <c r="G837" s="285">
        <f>Tabla3[[#This Row],[INGRESOS]]-Tabla3[[#This Row],[EGRESOS]]</f>
        <v>-45000</v>
      </c>
      <c r="H837" s="137">
        <v>-11584975.02</v>
      </c>
      <c r="I837" s="135">
        <v>1140</v>
      </c>
      <c r="J837" s="136">
        <f>Tabla3[[#This Row],[EGRESOS]]/Tabla3[[#This Row],[TC]]</f>
        <v>39.473684210526315</v>
      </c>
      <c r="K837" s="136">
        <f>Tabla3[[#This Row],[INGRESOS]]/Tabla3[[#This Row],[TC]]</f>
        <v>0</v>
      </c>
      <c r="L837" s="8" t="s">
        <v>303</v>
      </c>
      <c r="M837" s="8" t="s">
        <v>304</v>
      </c>
      <c r="N837" s="8" t="s">
        <v>20</v>
      </c>
      <c r="O837" s="8" t="s">
        <v>184</v>
      </c>
      <c r="P837" s="8" t="s">
        <v>191</v>
      </c>
      <c r="Q837" s="8" t="s">
        <v>192</v>
      </c>
      <c r="R837" s="8"/>
      <c r="S837" s="8" t="s">
        <v>431</v>
      </c>
      <c r="T837" s="8"/>
      <c r="U837" s="8" t="s">
        <v>266</v>
      </c>
      <c r="V837" s="8"/>
      <c r="W837" s="8" t="s">
        <v>306</v>
      </c>
      <c r="X837" s="8" t="s">
        <v>98</v>
      </c>
      <c r="Y837" s="8" t="s">
        <v>23</v>
      </c>
    </row>
    <row r="838" spans="1:25" hidden="1" x14ac:dyDescent="0.25">
      <c r="A838" s="283" t="s">
        <v>235</v>
      </c>
      <c r="B838" s="260">
        <v>45734</v>
      </c>
      <c r="C838" s="261" t="s">
        <v>542</v>
      </c>
      <c r="D838" s="261"/>
      <c r="E838" s="262">
        <v>552000</v>
      </c>
      <c r="F838" s="262">
        <v>0</v>
      </c>
      <c r="G838" s="285">
        <f>Tabla3[[#This Row],[INGRESOS]]-Tabla3[[#This Row],[EGRESOS]]</f>
        <v>-552000</v>
      </c>
      <c r="H838" s="137">
        <v>-11584975.02</v>
      </c>
      <c r="I838" s="135">
        <v>1140</v>
      </c>
      <c r="J838" s="136">
        <f>Tabla3[[#This Row],[EGRESOS]]/Tabla3[[#This Row],[TC]]</f>
        <v>484.21052631578948</v>
      </c>
      <c r="K838" s="136">
        <f>Tabla3[[#This Row],[INGRESOS]]/Tabla3[[#This Row],[TC]]</f>
        <v>0</v>
      </c>
      <c r="L838" s="8" t="s">
        <v>303</v>
      </c>
      <c r="M838" s="8" t="s">
        <v>304</v>
      </c>
      <c r="N838" s="8" t="s">
        <v>20</v>
      </c>
      <c r="O838" s="8" t="s">
        <v>184</v>
      </c>
      <c r="P838" s="8" t="s">
        <v>191</v>
      </c>
      <c r="Q838" s="8" t="s">
        <v>193</v>
      </c>
      <c r="R838" s="8" t="s">
        <v>645</v>
      </c>
      <c r="S838" s="8" t="s">
        <v>313</v>
      </c>
      <c r="T838" s="8"/>
      <c r="U838" s="8" t="s">
        <v>266</v>
      </c>
      <c r="V838" s="8"/>
      <c r="W838" s="8" t="s">
        <v>306</v>
      </c>
      <c r="X838" s="8" t="s">
        <v>98</v>
      </c>
      <c r="Y838" s="8" t="s">
        <v>23</v>
      </c>
    </row>
    <row r="839" spans="1:25" hidden="1" x14ac:dyDescent="0.25">
      <c r="A839" s="283" t="s">
        <v>235</v>
      </c>
      <c r="B839" s="260">
        <v>45734</v>
      </c>
      <c r="C839" s="261" t="s">
        <v>542</v>
      </c>
      <c r="D839" s="261"/>
      <c r="E839" s="262">
        <v>20000</v>
      </c>
      <c r="F839" s="262">
        <v>0</v>
      </c>
      <c r="G839" s="285">
        <f>Tabla3[[#This Row],[INGRESOS]]-Tabla3[[#This Row],[EGRESOS]]</f>
        <v>-20000</v>
      </c>
      <c r="H839" s="137">
        <v>-11584975.02</v>
      </c>
      <c r="I839" s="135">
        <v>1140</v>
      </c>
      <c r="J839" s="136">
        <f>Tabla3[[#This Row],[EGRESOS]]/Tabla3[[#This Row],[TC]]</f>
        <v>17.543859649122808</v>
      </c>
      <c r="K839" s="136">
        <f>Tabla3[[#This Row],[INGRESOS]]/Tabla3[[#This Row],[TC]]</f>
        <v>0</v>
      </c>
      <c r="L839" s="8" t="s">
        <v>303</v>
      </c>
      <c r="M839" s="8" t="s">
        <v>304</v>
      </c>
      <c r="N839" s="8" t="s">
        <v>20</v>
      </c>
      <c r="O839" s="8" t="s">
        <v>184</v>
      </c>
      <c r="P839" s="8" t="s">
        <v>191</v>
      </c>
      <c r="Q839" s="8" t="s">
        <v>192</v>
      </c>
      <c r="R839" s="8" t="s">
        <v>646</v>
      </c>
      <c r="S839" s="8"/>
      <c r="T839" s="8"/>
      <c r="U839" s="8" t="s">
        <v>261</v>
      </c>
      <c r="V839" s="8"/>
      <c r="W839" s="8" t="s">
        <v>306</v>
      </c>
      <c r="X839" s="8" t="s">
        <v>98</v>
      </c>
      <c r="Y839" s="8" t="s">
        <v>23</v>
      </c>
    </row>
    <row r="840" spans="1:25" hidden="1" x14ac:dyDescent="0.25">
      <c r="A840" s="283" t="s">
        <v>235</v>
      </c>
      <c r="B840" s="260">
        <v>45734</v>
      </c>
      <c r="C840" s="261" t="s">
        <v>542</v>
      </c>
      <c r="D840" s="261"/>
      <c r="E840" s="262">
        <v>10000</v>
      </c>
      <c r="F840" s="262">
        <v>0</v>
      </c>
      <c r="G840" s="285">
        <f>Tabla3[[#This Row],[INGRESOS]]-Tabla3[[#This Row],[EGRESOS]]</f>
        <v>-10000</v>
      </c>
      <c r="H840" s="137">
        <v>-11584975.02</v>
      </c>
      <c r="I840" s="135">
        <v>1140</v>
      </c>
      <c r="J840" s="136">
        <f>Tabla3[[#This Row],[EGRESOS]]/Tabla3[[#This Row],[TC]]</f>
        <v>8.7719298245614041</v>
      </c>
      <c r="K840" s="136">
        <f>Tabla3[[#This Row],[INGRESOS]]/Tabla3[[#This Row],[TC]]</f>
        <v>0</v>
      </c>
      <c r="L840" s="8" t="s">
        <v>303</v>
      </c>
      <c r="M840" s="8" t="s">
        <v>304</v>
      </c>
      <c r="N840" s="8" t="s">
        <v>20</v>
      </c>
      <c r="O840" s="8" t="s">
        <v>184</v>
      </c>
      <c r="P840" s="8" t="s">
        <v>185</v>
      </c>
      <c r="Q840" s="8" t="s">
        <v>186</v>
      </c>
      <c r="R840" s="8"/>
      <c r="S840" s="8"/>
      <c r="T840" s="8"/>
      <c r="U840" s="8" t="s">
        <v>261</v>
      </c>
      <c r="V840" s="8"/>
      <c r="W840" s="8" t="s">
        <v>306</v>
      </c>
      <c r="X840" s="8" t="s">
        <v>98</v>
      </c>
      <c r="Y840" s="8" t="s">
        <v>23</v>
      </c>
    </row>
    <row r="841" spans="1:25" hidden="1" x14ac:dyDescent="0.25">
      <c r="A841" s="283" t="s">
        <v>235</v>
      </c>
      <c r="B841" s="260">
        <v>45734</v>
      </c>
      <c r="C841" s="261" t="s">
        <v>542</v>
      </c>
      <c r="D841" s="261"/>
      <c r="E841" s="262">
        <v>150000</v>
      </c>
      <c r="F841" s="262">
        <v>0</v>
      </c>
      <c r="G841" s="285">
        <f>Tabla3[[#This Row],[INGRESOS]]-Tabla3[[#This Row],[EGRESOS]]</f>
        <v>-150000</v>
      </c>
      <c r="H841" s="137">
        <v>-11584975.02</v>
      </c>
      <c r="I841" s="135">
        <v>1140</v>
      </c>
      <c r="J841" s="136">
        <f>Tabla3[[#This Row],[EGRESOS]]/Tabla3[[#This Row],[TC]]</f>
        <v>131.57894736842104</v>
      </c>
      <c r="K841" s="136">
        <f>Tabla3[[#This Row],[INGRESOS]]/Tabla3[[#This Row],[TC]]</f>
        <v>0</v>
      </c>
      <c r="L841" s="8" t="s">
        <v>303</v>
      </c>
      <c r="M841" s="8" t="s">
        <v>304</v>
      </c>
      <c r="N841" s="8" t="s">
        <v>20</v>
      </c>
      <c r="O841" s="8" t="s">
        <v>184</v>
      </c>
      <c r="P841" s="8" t="s">
        <v>191</v>
      </c>
      <c r="Q841" s="8" t="s">
        <v>192</v>
      </c>
      <c r="R841" s="8"/>
      <c r="S841" s="8" t="s">
        <v>431</v>
      </c>
      <c r="T841" s="8"/>
      <c r="U841" s="8" t="s">
        <v>266</v>
      </c>
      <c r="V841" s="8"/>
      <c r="W841" s="8" t="s">
        <v>306</v>
      </c>
      <c r="X841" s="8" t="s">
        <v>98</v>
      </c>
      <c r="Y841" s="8" t="s">
        <v>23</v>
      </c>
    </row>
    <row r="842" spans="1:25" hidden="1" x14ac:dyDescent="0.25">
      <c r="A842" s="283" t="s">
        <v>235</v>
      </c>
      <c r="B842" s="260">
        <v>45734</v>
      </c>
      <c r="C842" s="261" t="s">
        <v>571</v>
      </c>
      <c r="D842" s="261"/>
      <c r="E842" s="262">
        <v>121</v>
      </c>
      <c r="F842" s="262">
        <v>0</v>
      </c>
      <c r="G842" s="285">
        <f>Tabla3[[#This Row],[INGRESOS]]-Tabla3[[#This Row],[EGRESOS]]</f>
        <v>-121</v>
      </c>
      <c r="H842" s="137">
        <v>-13464496.02</v>
      </c>
      <c r="I842" s="135">
        <v>1140</v>
      </c>
      <c r="J842" s="136">
        <f>Tabla3[[#This Row],[EGRESOS]]/Tabla3[[#This Row],[TC]]</f>
        <v>0.10614035087719298</v>
      </c>
      <c r="K842" s="136">
        <f>Tabla3[[#This Row],[INGRESOS]]/Tabla3[[#This Row],[TC]]</f>
        <v>0</v>
      </c>
      <c r="L842" s="8" t="s">
        <v>303</v>
      </c>
      <c r="M842" s="8" t="s">
        <v>304</v>
      </c>
      <c r="N842" s="8" t="s">
        <v>20</v>
      </c>
      <c r="O842" s="8" t="s">
        <v>184</v>
      </c>
      <c r="P842" s="8" t="s">
        <v>185</v>
      </c>
      <c r="Q842" s="8" t="s">
        <v>186</v>
      </c>
      <c r="R842" s="8"/>
      <c r="S842" s="8"/>
      <c r="T842" s="8"/>
      <c r="U842" s="8" t="s">
        <v>261</v>
      </c>
      <c r="V842" s="8"/>
      <c r="W842" s="8" t="s">
        <v>306</v>
      </c>
      <c r="X842" s="8" t="s">
        <v>29</v>
      </c>
      <c r="Y842" s="8" t="s">
        <v>23</v>
      </c>
    </row>
    <row r="843" spans="1:25" hidden="1" x14ac:dyDescent="0.25">
      <c r="A843" s="283" t="s">
        <v>235</v>
      </c>
      <c r="B843" s="260">
        <v>45734</v>
      </c>
      <c r="C843" s="261" t="s">
        <v>637</v>
      </c>
      <c r="D843" s="261"/>
      <c r="E843" s="262">
        <v>33303.919999999998</v>
      </c>
      <c r="F843" s="262">
        <v>0</v>
      </c>
      <c r="G843" s="285">
        <f>Tabla3[[#This Row],[INGRESOS]]-Tabla3[[#This Row],[EGRESOS]]</f>
        <v>-33303.919999999998</v>
      </c>
      <c r="H843" s="137">
        <v>-13497799.939999999</v>
      </c>
      <c r="I843" s="135">
        <v>1140</v>
      </c>
      <c r="J843" s="136">
        <f>Tabla3[[#This Row],[EGRESOS]]/Tabla3[[#This Row],[TC]]</f>
        <v>29.213964912280701</v>
      </c>
      <c r="K843" s="136">
        <f>Tabla3[[#This Row],[INGRESOS]]/Tabla3[[#This Row],[TC]]</f>
        <v>0</v>
      </c>
      <c r="L843" s="8" t="s">
        <v>303</v>
      </c>
      <c r="M843" s="8" t="s">
        <v>304</v>
      </c>
      <c r="N843" s="8" t="s">
        <v>20</v>
      </c>
      <c r="O843" s="8" t="s">
        <v>184</v>
      </c>
      <c r="P843" s="8" t="s">
        <v>187</v>
      </c>
      <c r="Q843" s="8" t="s">
        <v>188</v>
      </c>
      <c r="R843" s="8" t="s">
        <v>317</v>
      </c>
      <c r="S843" s="8"/>
      <c r="T843" s="8"/>
      <c r="U843" s="8" t="s">
        <v>261</v>
      </c>
      <c r="V843" s="8"/>
      <c r="W843" s="8" t="s">
        <v>306</v>
      </c>
      <c r="X843" s="8" t="s">
        <v>98</v>
      </c>
      <c r="Y843" s="8" t="s">
        <v>23</v>
      </c>
    </row>
    <row r="844" spans="1:25" hidden="1" x14ac:dyDescent="0.25">
      <c r="A844" s="283" t="s">
        <v>235</v>
      </c>
      <c r="B844" s="260">
        <v>45735</v>
      </c>
      <c r="C844" s="261" t="s">
        <v>637</v>
      </c>
      <c r="D844" s="261"/>
      <c r="E844" s="262">
        <v>26.07</v>
      </c>
      <c r="F844" s="262">
        <v>0</v>
      </c>
      <c r="G844" s="285">
        <f>Tabla3[[#This Row],[INGRESOS]]-Tabla3[[#This Row],[EGRESOS]]</f>
        <v>-26.07</v>
      </c>
      <c r="H844" s="137">
        <v>-13522171.01</v>
      </c>
      <c r="I844" s="135">
        <v>1140</v>
      </c>
      <c r="J844" s="136">
        <f>Tabla3[[#This Row],[EGRESOS]]/Tabla3[[#This Row],[TC]]</f>
        <v>2.286842105263158E-2</v>
      </c>
      <c r="K844" s="136">
        <f>Tabla3[[#This Row],[INGRESOS]]/Tabla3[[#This Row],[TC]]</f>
        <v>0</v>
      </c>
      <c r="L844" s="8" t="s">
        <v>303</v>
      </c>
      <c r="M844" s="8" t="s">
        <v>304</v>
      </c>
      <c r="N844" s="8" t="s">
        <v>20</v>
      </c>
      <c r="O844" s="8" t="s">
        <v>184</v>
      </c>
      <c r="P844" s="8" t="s">
        <v>187</v>
      </c>
      <c r="Q844" s="8" t="s">
        <v>188</v>
      </c>
      <c r="R844" s="8" t="s">
        <v>317</v>
      </c>
      <c r="S844" s="8"/>
      <c r="T844" s="8"/>
      <c r="U844" s="8" t="s">
        <v>261</v>
      </c>
      <c r="V844" s="8"/>
      <c r="W844" s="8" t="s">
        <v>306</v>
      </c>
      <c r="X844" s="8" t="s">
        <v>98</v>
      </c>
      <c r="Y844" s="8" t="s">
        <v>23</v>
      </c>
    </row>
    <row r="845" spans="1:25" hidden="1" x14ac:dyDescent="0.25">
      <c r="A845" s="283" t="s">
        <v>235</v>
      </c>
      <c r="B845" s="260">
        <v>45735</v>
      </c>
      <c r="C845" s="261" t="s">
        <v>566</v>
      </c>
      <c r="D845" s="261"/>
      <c r="E845" s="262">
        <v>4345</v>
      </c>
      <c r="F845" s="262">
        <v>0</v>
      </c>
      <c r="G845" s="285">
        <f>Tabla3[[#This Row],[INGRESOS]]-Tabla3[[#This Row],[EGRESOS]]</f>
        <v>-4345</v>
      </c>
      <c r="H845" s="137">
        <v>-13522144.939999999</v>
      </c>
      <c r="I845" s="135">
        <v>1140</v>
      </c>
      <c r="J845" s="136">
        <f>Tabla3[[#This Row],[EGRESOS]]/Tabla3[[#This Row],[TC]]</f>
        <v>3.8114035087719298</v>
      </c>
      <c r="K845" s="136">
        <f>Tabla3[[#This Row],[INGRESOS]]/Tabla3[[#This Row],[TC]]</f>
        <v>0</v>
      </c>
      <c r="L845" s="8" t="s">
        <v>303</v>
      </c>
      <c r="M845" s="8" t="s">
        <v>304</v>
      </c>
      <c r="N845" s="8" t="s">
        <v>20</v>
      </c>
      <c r="O845" s="8" t="s">
        <v>184</v>
      </c>
      <c r="P845" s="8" t="s">
        <v>185</v>
      </c>
      <c r="Q845" s="8" t="s">
        <v>186</v>
      </c>
      <c r="R845" s="8"/>
      <c r="S845" s="8"/>
      <c r="T845" s="8"/>
      <c r="U845" s="8" t="s">
        <v>261</v>
      </c>
      <c r="V845" s="8"/>
      <c r="W845" s="8" t="s">
        <v>306</v>
      </c>
      <c r="X845" s="8" t="s">
        <v>98</v>
      </c>
      <c r="Y845" s="8" t="s">
        <v>23</v>
      </c>
    </row>
    <row r="846" spans="1:25" hidden="1" x14ac:dyDescent="0.25">
      <c r="A846" s="283" t="s">
        <v>235</v>
      </c>
      <c r="B846" s="260">
        <v>45735</v>
      </c>
      <c r="C846" s="261" t="s">
        <v>323</v>
      </c>
      <c r="D846" s="261"/>
      <c r="E846" s="262">
        <v>20000</v>
      </c>
      <c r="F846" s="262">
        <v>0</v>
      </c>
      <c r="G846" s="285">
        <f>Tabla3[[#This Row],[INGRESOS]]-Tabla3[[#This Row],[EGRESOS]]</f>
        <v>-20000</v>
      </c>
      <c r="H846" s="137">
        <v>-13517799.939999999</v>
      </c>
      <c r="I846" s="135">
        <v>1140</v>
      </c>
      <c r="J846" s="136">
        <f>Tabla3[[#This Row],[EGRESOS]]/Tabla3[[#This Row],[TC]]</f>
        <v>17.543859649122808</v>
      </c>
      <c r="K846" s="136">
        <f>Tabla3[[#This Row],[INGRESOS]]/Tabla3[[#This Row],[TC]]</f>
        <v>0</v>
      </c>
      <c r="L846" s="8" t="s">
        <v>303</v>
      </c>
      <c r="M846" s="8" t="s">
        <v>304</v>
      </c>
      <c r="N846" s="8" t="s">
        <v>20</v>
      </c>
      <c r="O846" s="8" t="s">
        <v>214</v>
      </c>
      <c r="P846" s="8" t="s">
        <v>216</v>
      </c>
      <c r="Q846" s="8" t="s">
        <v>217</v>
      </c>
      <c r="R846" s="8" t="s">
        <v>357</v>
      </c>
      <c r="S846" s="8"/>
      <c r="T846" s="8"/>
      <c r="U846" s="8" t="s">
        <v>262</v>
      </c>
      <c r="V846" s="8"/>
      <c r="W846" s="8"/>
      <c r="X846" s="8"/>
      <c r="Y846" s="8"/>
    </row>
    <row r="847" spans="1:25" hidden="1" x14ac:dyDescent="0.25">
      <c r="A847" s="283" t="s">
        <v>235</v>
      </c>
      <c r="B847" s="260">
        <v>45735</v>
      </c>
      <c r="C847" s="261" t="s">
        <v>637</v>
      </c>
      <c r="D847" s="261"/>
      <c r="E847" s="262">
        <v>26.07</v>
      </c>
      <c r="F847" s="262">
        <v>0</v>
      </c>
      <c r="G847" s="285">
        <f>Tabla3[[#This Row],[INGRESOS]]-Tabla3[[#This Row],[EGRESOS]]</f>
        <v>-26.07</v>
      </c>
      <c r="H847" s="137">
        <v>-13522171.01</v>
      </c>
      <c r="I847" s="135">
        <v>1140</v>
      </c>
      <c r="J847" s="136">
        <f>Tabla3[[#This Row],[EGRESOS]]/Tabla3[[#This Row],[TC]]</f>
        <v>2.286842105263158E-2</v>
      </c>
      <c r="K847" s="136">
        <f>Tabla3[[#This Row],[INGRESOS]]/Tabla3[[#This Row],[TC]]</f>
        <v>0</v>
      </c>
      <c r="L847" s="8" t="s">
        <v>303</v>
      </c>
      <c r="M847" s="8" t="s">
        <v>304</v>
      </c>
      <c r="N847" s="8" t="s">
        <v>20</v>
      </c>
      <c r="O847" s="8" t="s">
        <v>184</v>
      </c>
      <c r="P847" s="8" t="s">
        <v>187</v>
      </c>
      <c r="Q847" s="8" t="s">
        <v>188</v>
      </c>
      <c r="R847" s="8" t="s">
        <v>317</v>
      </c>
      <c r="S847" s="8"/>
      <c r="T847" s="8"/>
      <c r="U847" s="8" t="s">
        <v>261</v>
      </c>
      <c r="V847" s="8"/>
      <c r="W847" s="8" t="s">
        <v>306</v>
      </c>
      <c r="X847" s="8" t="s">
        <v>98</v>
      </c>
      <c r="Y847" s="8" t="s">
        <v>23</v>
      </c>
    </row>
    <row r="848" spans="1:25" s="287" customFormat="1" hidden="1" x14ac:dyDescent="0.25">
      <c r="A848" s="283" t="s">
        <v>235</v>
      </c>
      <c r="B848" s="260">
        <v>45736</v>
      </c>
      <c r="C848" s="261" t="s">
        <v>568</v>
      </c>
      <c r="D848" s="261"/>
      <c r="E848" s="262">
        <v>1173709</v>
      </c>
      <c r="F848" s="262">
        <v>0</v>
      </c>
      <c r="G848" s="285">
        <f>Tabla3[[#This Row],[INGRESOS]]-Tabla3[[#This Row],[EGRESOS]]</f>
        <v>-1173709</v>
      </c>
      <c r="H848" s="137">
        <v>-14695880.01</v>
      </c>
      <c r="I848" s="135">
        <v>1140</v>
      </c>
      <c r="J848" s="136">
        <f>Tabla3[[#This Row],[EGRESOS]]/Tabla3[[#This Row],[TC]]</f>
        <v>1029.5692982456139</v>
      </c>
      <c r="K848" s="136">
        <f>Tabla3[[#This Row],[INGRESOS]]/Tabla3[[#This Row],[TC]]</f>
        <v>0</v>
      </c>
      <c r="L848" s="8" t="s">
        <v>303</v>
      </c>
      <c r="M848" s="8" t="s">
        <v>304</v>
      </c>
      <c r="N848" s="8" t="s">
        <v>20</v>
      </c>
      <c r="O848" s="8" t="s">
        <v>184</v>
      </c>
      <c r="P848" s="8" t="s">
        <v>187</v>
      </c>
      <c r="Q848" s="8" t="s">
        <v>188</v>
      </c>
      <c r="R848" s="8" t="s">
        <v>647</v>
      </c>
      <c r="S848" s="8" t="s">
        <v>68</v>
      </c>
      <c r="T848" s="8"/>
      <c r="U848" s="8" t="s">
        <v>265</v>
      </c>
      <c r="V848" s="8"/>
      <c r="W848" s="8" t="s">
        <v>306</v>
      </c>
      <c r="X848" s="8" t="s">
        <v>98</v>
      </c>
      <c r="Y848" s="8" t="s">
        <v>23</v>
      </c>
    </row>
    <row r="849" spans="1:25" s="287" customFormat="1" hidden="1" x14ac:dyDescent="0.25">
      <c r="A849" s="283" t="s">
        <v>235</v>
      </c>
      <c r="B849" s="260">
        <v>45736</v>
      </c>
      <c r="C849" s="261" t="s">
        <v>637</v>
      </c>
      <c r="D849" s="261"/>
      <c r="E849" s="262">
        <v>7042.25</v>
      </c>
      <c r="F849" s="262">
        <v>0</v>
      </c>
      <c r="G849" s="285">
        <f>Tabla3[[#This Row],[INGRESOS]]-Tabla3[[#This Row],[EGRESOS]]</f>
        <v>-7042.25</v>
      </c>
      <c r="H849" s="137">
        <v>-14702922.26</v>
      </c>
      <c r="I849" s="135">
        <v>1140</v>
      </c>
      <c r="J849" s="136">
        <f>Tabla3[[#This Row],[EGRESOS]]/Tabla3[[#This Row],[TC]]</f>
        <v>6.1774122807017546</v>
      </c>
      <c r="K849" s="136">
        <f>Tabla3[[#This Row],[INGRESOS]]/Tabla3[[#This Row],[TC]]</f>
        <v>0</v>
      </c>
      <c r="L849" s="8" t="s">
        <v>303</v>
      </c>
      <c r="M849" s="8" t="s">
        <v>304</v>
      </c>
      <c r="N849" s="8" t="s">
        <v>20</v>
      </c>
      <c r="O849" s="8" t="s">
        <v>184</v>
      </c>
      <c r="P849" s="8" t="s">
        <v>187</v>
      </c>
      <c r="Q849" s="8" t="s">
        <v>188</v>
      </c>
      <c r="R849" s="8" t="s">
        <v>317</v>
      </c>
      <c r="S849" s="8"/>
      <c r="T849" s="8"/>
      <c r="U849" s="8" t="s">
        <v>261</v>
      </c>
      <c r="V849" s="8"/>
      <c r="W849" s="8" t="s">
        <v>306</v>
      </c>
      <c r="X849" s="8" t="s">
        <v>98</v>
      </c>
      <c r="Y849" s="8" t="s">
        <v>23</v>
      </c>
    </row>
    <row r="850" spans="1:25" s="287" customFormat="1" hidden="1" x14ac:dyDescent="0.25">
      <c r="A850" s="283" t="s">
        <v>235</v>
      </c>
      <c r="B850" s="260">
        <v>45737</v>
      </c>
      <c r="C850" s="261" t="s">
        <v>323</v>
      </c>
      <c r="D850" s="261"/>
      <c r="E850" s="262">
        <v>550000</v>
      </c>
      <c r="F850" s="262">
        <v>0</v>
      </c>
      <c r="G850" s="285">
        <f>Tabla3[[#This Row],[INGRESOS]]-Tabla3[[#This Row],[EGRESOS]]</f>
        <v>-550000</v>
      </c>
      <c r="H850" s="137">
        <v>-15252922.26</v>
      </c>
      <c r="I850" s="135">
        <v>1140</v>
      </c>
      <c r="J850" s="136">
        <f>Tabla3[[#This Row],[EGRESOS]]/Tabla3[[#This Row],[TC]]</f>
        <v>482.45614035087721</v>
      </c>
      <c r="K850" s="136">
        <f>Tabla3[[#This Row],[INGRESOS]]/Tabla3[[#This Row],[TC]]</f>
        <v>0</v>
      </c>
      <c r="L850" s="8" t="s">
        <v>303</v>
      </c>
      <c r="M850" s="8" t="s">
        <v>304</v>
      </c>
      <c r="N850" s="8" t="s">
        <v>20</v>
      </c>
      <c r="O850" s="8" t="s">
        <v>214</v>
      </c>
      <c r="P850" s="8" t="s">
        <v>216</v>
      </c>
      <c r="Q850" s="8" t="s">
        <v>217</v>
      </c>
      <c r="R850" s="8" t="s">
        <v>466</v>
      </c>
      <c r="S850" s="8"/>
      <c r="T850" s="8"/>
      <c r="U850" s="8" t="s">
        <v>262</v>
      </c>
      <c r="V850" s="8"/>
      <c r="W850" s="8" t="s">
        <v>306</v>
      </c>
      <c r="X850" s="8"/>
      <c r="Y850" s="8"/>
    </row>
    <row r="851" spans="1:25" s="287" customFormat="1" hidden="1" x14ac:dyDescent="0.25">
      <c r="A851" s="283" t="s">
        <v>235</v>
      </c>
      <c r="B851" s="260">
        <v>45737</v>
      </c>
      <c r="C851" s="261" t="s">
        <v>571</v>
      </c>
      <c r="D851" s="261"/>
      <c r="E851" s="262">
        <v>121</v>
      </c>
      <c r="F851" s="262">
        <v>0</v>
      </c>
      <c r="G851" s="285">
        <f>Tabla3[[#This Row],[INGRESOS]]-Tabla3[[#This Row],[EGRESOS]]</f>
        <v>-121</v>
      </c>
      <c r="H851" s="137">
        <v>-15253043.26</v>
      </c>
      <c r="I851" s="135">
        <v>1140</v>
      </c>
      <c r="J851" s="136">
        <f>Tabla3[[#This Row],[EGRESOS]]/Tabla3[[#This Row],[TC]]</f>
        <v>0.10614035087719298</v>
      </c>
      <c r="K851" s="136">
        <f>Tabla3[[#This Row],[INGRESOS]]/Tabla3[[#This Row],[TC]]</f>
        <v>0</v>
      </c>
      <c r="L851" s="8" t="s">
        <v>303</v>
      </c>
      <c r="M851" s="8" t="s">
        <v>304</v>
      </c>
      <c r="N851" s="8" t="s">
        <v>20</v>
      </c>
      <c r="O851" s="8" t="s">
        <v>184</v>
      </c>
      <c r="P851" s="8" t="s">
        <v>187</v>
      </c>
      <c r="Q851" s="8" t="s">
        <v>188</v>
      </c>
      <c r="R851" s="8" t="s">
        <v>317</v>
      </c>
      <c r="S851" s="8"/>
      <c r="T851" s="8"/>
      <c r="U851" s="8" t="s">
        <v>261</v>
      </c>
      <c r="V851" s="8"/>
      <c r="W851" s="8" t="s">
        <v>306</v>
      </c>
      <c r="X851" s="8" t="s">
        <v>98</v>
      </c>
      <c r="Y851" s="8" t="s">
        <v>23</v>
      </c>
    </row>
    <row r="852" spans="1:25" s="287" customFormat="1" hidden="1" x14ac:dyDescent="0.25">
      <c r="A852" s="283" t="s">
        <v>235</v>
      </c>
      <c r="B852" s="260">
        <v>45737</v>
      </c>
      <c r="C852" s="261" t="s">
        <v>542</v>
      </c>
      <c r="D852" s="261"/>
      <c r="E852" s="262">
        <v>850000</v>
      </c>
      <c r="F852" s="262">
        <v>0</v>
      </c>
      <c r="G852" s="285">
        <f>Tabla3[[#This Row],[INGRESOS]]-Tabla3[[#This Row],[EGRESOS]]</f>
        <v>-850000</v>
      </c>
      <c r="H852" s="137">
        <v>-16103043.26</v>
      </c>
      <c r="I852" s="135">
        <v>1140</v>
      </c>
      <c r="J852" s="136">
        <f>Tabla3[[#This Row],[EGRESOS]]/Tabla3[[#This Row],[TC]]</f>
        <v>745.61403508771934</v>
      </c>
      <c r="K852" s="136">
        <f>Tabla3[[#This Row],[INGRESOS]]/Tabla3[[#This Row],[TC]]</f>
        <v>0</v>
      </c>
      <c r="L852" s="8" t="s">
        <v>303</v>
      </c>
      <c r="M852" s="8" t="s">
        <v>304</v>
      </c>
      <c r="N852" s="8" t="s">
        <v>20</v>
      </c>
      <c r="O852" s="8" t="s">
        <v>184</v>
      </c>
      <c r="P852" s="8" t="s">
        <v>226</v>
      </c>
      <c r="Q852" s="8" t="s">
        <v>1008</v>
      </c>
      <c r="R852" s="8"/>
      <c r="S852" s="8" t="s">
        <v>648</v>
      </c>
      <c r="T852" s="8"/>
      <c r="U852" s="8" t="s">
        <v>261</v>
      </c>
      <c r="V852" s="8"/>
      <c r="W852" s="8" t="s">
        <v>306</v>
      </c>
      <c r="X852" s="8" t="s">
        <v>98</v>
      </c>
      <c r="Y852" s="8" t="s">
        <v>23</v>
      </c>
    </row>
    <row r="853" spans="1:25" s="287" customFormat="1" hidden="1" x14ac:dyDescent="0.25">
      <c r="A853" s="283" t="s">
        <v>235</v>
      </c>
      <c r="B853" s="260">
        <v>45737</v>
      </c>
      <c r="C853" s="261" t="s">
        <v>571</v>
      </c>
      <c r="D853" s="261"/>
      <c r="E853" s="262">
        <v>121</v>
      </c>
      <c r="F853" s="262">
        <v>0</v>
      </c>
      <c r="G853" s="285">
        <f>Tabla3[[#This Row],[INGRESOS]]-Tabla3[[#This Row],[EGRESOS]]</f>
        <v>-121</v>
      </c>
      <c r="H853" s="137">
        <v>-16103164.26</v>
      </c>
      <c r="I853" s="135">
        <v>1140</v>
      </c>
      <c r="J853" s="136">
        <f>Tabla3[[#This Row],[EGRESOS]]/Tabla3[[#This Row],[TC]]</f>
        <v>0.10614035087719298</v>
      </c>
      <c r="K853" s="136">
        <f>Tabla3[[#This Row],[INGRESOS]]/Tabla3[[#This Row],[TC]]</f>
        <v>0</v>
      </c>
      <c r="L853" s="8" t="s">
        <v>303</v>
      </c>
      <c r="M853" s="8" t="s">
        <v>304</v>
      </c>
      <c r="N853" s="8" t="s">
        <v>20</v>
      </c>
      <c r="O853" s="8" t="s">
        <v>184</v>
      </c>
      <c r="P853" s="8" t="s">
        <v>185</v>
      </c>
      <c r="Q853" s="8" t="s">
        <v>186</v>
      </c>
      <c r="R853" s="8"/>
      <c r="S853" s="8"/>
      <c r="T853" s="8"/>
      <c r="U853" s="8" t="s">
        <v>261</v>
      </c>
      <c r="V853" s="8"/>
      <c r="W853" s="8" t="s">
        <v>306</v>
      </c>
      <c r="X853" s="8" t="s">
        <v>98</v>
      </c>
      <c r="Y853" s="8" t="s">
        <v>23</v>
      </c>
    </row>
    <row r="854" spans="1:25" hidden="1" x14ac:dyDescent="0.25">
      <c r="A854" s="283" t="s">
        <v>235</v>
      </c>
      <c r="B854" s="260">
        <v>45737</v>
      </c>
      <c r="C854" s="261" t="s">
        <v>637</v>
      </c>
      <c r="D854" s="261"/>
      <c r="E854" s="262">
        <v>5101.46</v>
      </c>
      <c r="F854" s="262">
        <v>0</v>
      </c>
      <c r="G854" s="285">
        <f>Tabla3[[#This Row],[INGRESOS]]-Tabla3[[#This Row],[EGRESOS]]</f>
        <v>-5101.46</v>
      </c>
      <c r="H854" s="137">
        <v>-16108265.720000001</v>
      </c>
      <c r="I854" s="135">
        <v>1140</v>
      </c>
      <c r="J854" s="136">
        <f>Tabla3[[#This Row],[EGRESOS]]/Tabla3[[#This Row],[TC]]</f>
        <v>4.4749649122807016</v>
      </c>
      <c r="K854" s="136">
        <f>Tabla3[[#This Row],[INGRESOS]]/Tabla3[[#This Row],[TC]]</f>
        <v>0</v>
      </c>
      <c r="L854" s="8" t="s">
        <v>303</v>
      </c>
      <c r="M854" s="8" t="s">
        <v>304</v>
      </c>
      <c r="N854" s="8" t="s">
        <v>20</v>
      </c>
      <c r="O854" s="8" t="s">
        <v>184</v>
      </c>
      <c r="P854" s="8" t="s">
        <v>187</v>
      </c>
      <c r="Q854" s="8" t="s">
        <v>188</v>
      </c>
      <c r="R854" s="8" t="s">
        <v>317</v>
      </c>
      <c r="S854" s="8"/>
      <c r="T854" s="8"/>
      <c r="U854" s="8" t="s">
        <v>261</v>
      </c>
      <c r="V854" s="8"/>
      <c r="W854" s="8" t="s">
        <v>306</v>
      </c>
      <c r="X854" s="8" t="s">
        <v>98</v>
      </c>
      <c r="Y854" s="8" t="s">
        <v>23</v>
      </c>
    </row>
    <row r="855" spans="1:25" hidden="1" x14ac:dyDescent="0.25">
      <c r="A855" s="283" t="s">
        <v>235</v>
      </c>
      <c r="B855" s="260">
        <v>45737</v>
      </c>
      <c r="C855" s="261" t="s">
        <v>537</v>
      </c>
      <c r="D855" s="261"/>
      <c r="E855" s="262">
        <v>1641443.89</v>
      </c>
      <c r="F855" s="262">
        <v>0</v>
      </c>
      <c r="G855" s="285">
        <f>Tabla3[[#This Row],[INGRESOS]]-Tabla3[[#This Row],[EGRESOS]]</f>
        <v>-1641443.89</v>
      </c>
      <c r="H855" s="137">
        <v>-17749709.609999999</v>
      </c>
      <c r="I855" s="135">
        <v>1140</v>
      </c>
      <c r="J855" s="136">
        <f>Tabla3[[#This Row],[EGRESOS]]/Tabla3[[#This Row],[TC]]</f>
        <v>1439.8630614035087</v>
      </c>
      <c r="K855" s="136">
        <f>Tabla3[[#This Row],[INGRESOS]]/Tabla3[[#This Row],[TC]]</f>
        <v>0</v>
      </c>
      <c r="L855" s="8" t="s">
        <v>303</v>
      </c>
      <c r="M855" s="8" t="s">
        <v>304</v>
      </c>
      <c r="N855" s="8" t="s">
        <v>20</v>
      </c>
      <c r="O855" s="8" t="s">
        <v>214</v>
      </c>
      <c r="P855" s="8" t="s">
        <v>216</v>
      </c>
      <c r="Q855" s="8" t="s">
        <v>217</v>
      </c>
      <c r="R855" s="8" t="s">
        <v>546</v>
      </c>
      <c r="S855" s="8"/>
      <c r="T855" s="8"/>
      <c r="U855" s="8" t="s">
        <v>262</v>
      </c>
      <c r="V855" s="8"/>
      <c r="W855" s="8" t="s">
        <v>306</v>
      </c>
      <c r="X855" s="8"/>
      <c r="Y855" s="8"/>
    </row>
    <row r="856" spans="1:25" hidden="1" x14ac:dyDescent="0.25">
      <c r="A856" s="283" t="s">
        <v>235</v>
      </c>
      <c r="B856" s="260">
        <v>45741</v>
      </c>
      <c r="C856" s="261" t="s">
        <v>542</v>
      </c>
      <c r="D856" s="261"/>
      <c r="E856" s="262">
        <v>73940</v>
      </c>
      <c r="F856" s="262">
        <v>0</v>
      </c>
      <c r="G856" s="285">
        <f>Tabla3[[#This Row],[INGRESOS]]-Tabla3[[#This Row],[EGRESOS]]</f>
        <v>-73940</v>
      </c>
      <c r="H856" s="137">
        <v>-17823649.609999999</v>
      </c>
      <c r="I856" s="135">
        <v>1140</v>
      </c>
      <c r="J856" s="136">
        <f>Tabla3[[#This Row],[EGRESOS]]/Tabla3[[#This Row],[TC]]</f>
        <v>64.859649122807014</v>
      </c>
      <c r="K856" s="136">
        <f>Tabla3[[#This Row],[INGRESOS]]/Tabla3[[#This Row],[TC]]</f>
        <v>0</v>
      </c>
      <c r="L856" s="8" t="s">
        <v>303</v>
      </c>
      <c r="M856" s="8" t="s">
        <v>304</v>
      </c>
      <c r="N856" s="8" t="s">
        <v>20</v>
      </c>
      <c r="O856" s="8" t="s">
        <v>204</v>
      </c>
      <c r="P856" s="8" t="s">
        <v>210</v>
      </c>
      <c r="Q856" s="8" t="s">
        <v>211</v>
      </c>
      <c r="R856" s="8" t="s">
        <v>649</v>
      </c>
      <c r="S856" s="8" t="s">
        <v>650</v>
      </c>
      <c r="T856" s="8" t="s">
        <v>651</v>
      </c>
      <c r="U856" s="8" t="s">
        <v>258</v>
      </c>
      <c r="V856" s="8"/>
      <c r="W856" s="8" t="s">
        <v>306</v>
      </c>
      <c r="X856" s="8" t="s">
        <v>29</v>
      </c>
      <c r="Y856" s="8" t="s">
        <v>23</v>
      </c>
    </row>
    <row r="857" spans="1:25" hidden="1" x14ac:dyDescent="0.25">
      <c r="A857" s="283" t="s">
        <v>235</v>
      </c>
      <c r="B857" s="260">
        <v>45741</v>
      </c>
      <c r="C857" s="261" t="s">
        <v>637</v>
      </c>
      <c r="D857" s="261"/>
      <c r="E857" s="262">
        <v>443.64</v>
      </c>
      <c r="F857" s="262">
        <v>0</v>
      </c>
      <c r="G857" s="285">
        <f>Tabla3[[#This Row],[INGRESOS]]-Tabla3[[#This Row],[EGRESOS]]</f>
        <v>-443.64</v>
      </c>
      <c r="H857" s="137">
        <v>-17824093.25</v>
      </c>
      <c r="I857" s="135">
        <v>1140</v>
      </c>
      <c r="J857" s="136">
        <f>Tabla3[[#This Row],[EGRESOS]]/Tabla3[[#This Row],[TC]]</f>
        <v>0.38915789473684209</v>
      </c>
      <c r="K857" s="136">
        <f>Tabla3[[#This Row],[INGRESOS]]/Tabla3[[#This Row],[TC]]</f>
        <v>0</v>
      </c>
      <c r="L857" s="8" t="s">
        <v>303</v>
      </c>
      <c r="M857" s="8" t="s">
        <v>304</v>
      </c>
      <c r="N857" s="8" t="s">
        <v>20</v>
      </c>
      <c r="O857" s="8" t="s">
        <v>184</v>
      </c>
      <c r="P857" s="8" t="s">
        <v>187</v>
      </c>
      <c r="Q857" s="8" t="s">
        <v>188</v>
      </c>
      <c r="R857" s="8" t="s">
        <v>317</v>
      </c>
      <c r="S857" s="8"/>
      <c r="T857" s="8"/>
      <c r="U857" s="8" t="s">
        <v>261</v>
      </c>
      <c r="V857" s="8"/>
      <c r="W857" s="8" t="s">
        <v>306</v>
      </c>
      <c r="X857" s="8" t="s">
        <v>98</v>
      </c>
      <c r="Y857" s="8" t="s">
        <v>23</v>
      </c>
    </row>
    <row r="858" spans="1:25" hidden="1" x14ac:dyDescent="0.25">
      <c r="A858" s="283" t="s">
        <v>235</v>
      </c>
      <c r="B858" s="260">
        <v>45742</v>
      </c>
      <c r="C858" s="261" t="s">
        <v>323</v>
      </c>
      <c r="D858" s="261"/>
      <c r="E858" s="262">
        <v>1700000</v>
      </c>
      <c r="F858" s="262">
        <v>0</v>
      </c>
      <c r="G858" s="285">
        <f>Tabla3[[#This Row],[INGRESOS]]-Tabla3[[#This Row],[EGRESOS]]</f>
        <v>-1700000</v>
      </c>
      <c r="H858" s="137">
        <v>-19524093.25</v>
      </c>
      <c r="I858" s="135">
        <v>1140</v>
      </c>
      <c r="J858" s="136">
        <f>Tabla3[[#This Row],[EGRESOS]]/Tabla3[[#This Row],[TC]]</f>
        <v>1491.2280701754387</v>
      </c>
      <c r="K858" s="136">
        <f>Tabla3[[#This Row],[INGRESOS]]/Tabla3[[#This Row],[TC]]</f>
        <v>0</v>
      </c>
      <c r="L858" s="8" t="s">
        <v>303</v>
      </c>
      <c r="M858" s="8" t="s">
        <v>304</v>
      </c>
      <c r="N858" s="8" t="s">
        <v>20</v>
      </c>
      <c r="O858" s="8" t="s">
        <v>214</v>
      </c>
      <c r="P858" s="8" t="s">
        <v>216</v>
      </c>
      <c r="Q858" s="8" t="s">
        <v>217</v>
      </c>
      <c r="R858" s="8" t="s">
        <v>357</v>
      </c>
      <c r="S858" s="8"/>
      <c r="T858" s="8"/>
      <c r="U858" s="8" t="s">
        <v>262</v>
      </c>
      <c r="V858" s="8"/>
      <c r="W858" s="8"/>
      <c r="X858" s="8"/>
      <c r="Y858" s="8"/>
    </row>
    <row r="859" spans="1:25" hidden="1" x14ac:dyDescent="0.25">
      <c r="A859" s="283" t="s">
        <v>235</v>
      </c>
      <c r="B859" s="260">
        <v>45742</v>
      </c>
      <c r="C859" s="261" t="s">
        <v>571</v>
      </c>
      <c r="D859" s="261"/>
      <c r="E859" s="262">
        <v>121</v>
      </c>
      <c r="F859" s="262">
        <v>0</v>
      </c>
      <c r="G859" s="285">
        <f>Tabla3[[#This Row],[INGRESOS]]-Tabla3[[#This Row],[EGRESOS]]</f>
        <v>-121</v>
      </c>
      <c r="H859" s="137">
        <v>-19524214.25</v>
      </c>
      <c r="I859" s="135">
        <v>1140</v>
      </c>
      <c r="J859" s="136">
        <f>Tabla3[[#This Row],[EGRESOS]]/Tabla3[[#This Row],[TC]]</f>
        <v>0.10614035087719298</v>
      </c>
      <c r="K859" s="136">
        <f>Tabla3[[#This Row],[INGRESOS]]/Tabla3[[#This Row],[TC]]</f>
        <v>0</v>
      </c>
      <c r="L859" s="8" t="s">
        <v>303</v>
      </c>
      <c r="M859" s="8" t="s">
        <v>304</v>
      </c>
      <c r="N859" s="8" t="s">
        <v>20</v>
      </c>
      <c r="O859" s="8" t="s">
        <v>184</v>
      </c>
      <c r="P859" s="8" t="s">
        <v>185</v>
      </c>
      <c r="Q859" s="8" t="s">
        <v>186</v>
      </c>
      <c r="R859" s="8"/>
      <c r="S859" s="8"/>
      <c r="T859" s="8"/>
      <c r="U859" s="8" t="s">
        <v>261</v>
      </c>
      <c r="V859" s="8"/>
      <c r="W859" s="8" t="s">
        <v>306</v>
      </c>
      <c r="X859" s="8" t="s">
        <v>98</v>
      </c>
      <c r="Y859" s="8" t="s">
        <v>23</v>
      </c>
    </row>
    <row r="860" spans="1:25" hidden="1" x14ac:dyDescent="0.25">
      <c r="A860" s="283" t="s">
        <v>235</v>
      </c>
      <c r="B860" s="260">
        <v>45742</v>
      </c>
      <c r="C860" s="261" t="s">
        <v>542</v>
      </c>
      <c r="D860" s="261"/>
      <c r="E860" s="262">
        <v>30000</v>
      </c>
      <c r="F860" s="262">
        <v>0</v>
      </c>
      <c r="G860" s="285">
        <f>Tabla3[[#This Row],[INGRESOS]]-Tabla3[[#This Row],[EGRESOS]]</f>
        <v>-30000</v>
      </c>
      <c r="H860" s="137">
        <v>-19718214.25</v>
      </c>
      <c r="I860" s="135">
        <v>1140</v>
      </c>
      <c r="J860" s="136">
        <f>Tabla3[[#This Row],[EGRESOS]]/Tabla3[[#This Row],[TC]]</f>
        <v>26.315789473684209</v>
      </c>
      <c r="K860" s="136">
        <f>Tabla3[[#This Row],[INGRESOS]]/Tabla3[[#This Row],[TC]]</f>
        <v>0</v>
      </c>
      <c r="L860" s="8" t="s">
        <v>303</v>
      </c>
      <c r="M860" s="8" t="s">
        <v>304</v>
      </c>
      <c r="N860" s="8" t="s">
        <v>20</v>
      </c>
      <c r="O860" s="8" t="s">
        <v>223</v>
      </c>
      <c r="P860" s="7" t="s">
        <v>233</v>
      </c>
      <c r="Q860" s="7" t="s">
        <v>234</v>
      </c>
      <c r="R860" s="8"/>
      <c r="S860" s="8" t="s">
        <v>345</v>
      </c>
      <c r="T860" s="8"/>
      <c r="U860" s="8" t="s">
        <v>261</v>
      </c>
      <c r="V860" s="8"/>
      <c r="W860" s="8" t="s">
        <v>306</v>
      </c>
      <c r="X860" s="8" t="s">
        <v>98</v>
      </c>
      <c r="Y860" s="8" t="s">
        <v>23</v>
      </c>
    </row>
    <row r="861" spans="1:25" hidden="1" x14ac:dyDescent="0.25">
      <c r="A861" s="283" t="s">
        <v>235</v>
      </c>
      <c r="B861" s="260">
        <v>45742</v>
      </c>
      <c r="C861" s="261" t="s">
        <v>542</v>
      </c>
      <c r="D861" s="261"/>
      <c r="E861" s="262">
        <v>14000</v>
      </c>
      <c r="F861" s="262">
        <v>0</v>
      </c>
      <c r="G861" s="285">
        <f>Tabla3[[#This Row],[INGRESOS]]-Tabla3[[#This Row],[EGRESOS]]</f>
        <v>-14000</v>
      </c>
      <c r="H861" s="137">
        <v>-19718214.25</v>
      </c>
      <c r="I861" s="135">
        <v>1140</v>
      </c>
      <c r="J861" s="136">
        <f>Tabla3[[#This Row],[EGRESOS]]/Tabla3[[#This Row],[TC]]</f>
        <v>12.280701754385966</v>
      </c>
      <c r="K861" s="136">
        <f>Tabla3[[#This Row],[INGRESOS]]/Tabla3[[#This Row],[TC]]</f>
        <v>0</v>
      </c>
      <c r="L861" s="8" t="s">
        <v>303</v>
      </c>
      <c r="M861" s="8" t="s">
        <v>304</v>
      </c>
      <c r="N861" s="8" t="s">
        <v>20</v>
      </c>
      <c r="O861" s="8" t="s">
        <v>204</v>
      </c>
      <c r="P861" s="8" t="s">
        <v>208</v>
      </c>
      <c r="Q861" s="8"/>
      <c r="R861" s="8" t="s">
        <v>652</v>
      </c>
      <c r="S861" s="8"/>
      <c r="T861" s="8"/>
      <c r="U861" s="8" t="s">
        <v>260</v>
      </c>
      <c r="V861" s="8"/>
      <c r="W861" s="8" t="s">
        <v>306</v>
      </c>
      <c r="X861" s="8" t="s">
        <v>29</v>
      </c>
      <c r="Y861" s="8" t="s">
        <v>23</v>
      </c>
    </row>
    <row r="862" spans="1:25" hidden="1" x14ac:dyDescent="0.25">
      <c r="A862" s="283" t="s">
        <v>235</v>
      </c>
      <c r="B862" s="260">
        <v>45742</v>
      </c>
      <c r="C862" s="261" t="s">
        <v>542</v>
      </c>
      <c r="D862" s="261"/>
      <c r="E862" s="262">
        <v>150000</v>
      </c>
      <c r="F862" s="262">
        <v>0</v>
      </c>
      <c r="G862" s="285">
        <f>Tabla3[[#This Row],[INGRESOS]]-Tabla3[[#This Row],[EGRESOS]]</f>
        <v>-150000</v>
      </c>
      <c r="H862" s="137">
        <v>-19718214.25</v>
      </c>
      <c r="I862" s="135">
        <v>1140</v>
      </c>
      <c r="J862" s="136">
        <f>Tabla3[[#This Row],[EGRESOS]]/Tabla3[[#This Row],[TC]]</f>
        <v>131.57894736842104</v>
      </c>
      <c r="K862" s="136">
        <f>Tabla3[[#This Row],[INGRESOS]]/Tabla3[[#This Row],[TC]]</f>
        <v>0</v>
      </c>
      <c r="L862" s="8" t="s">
        <v>303</v>
      </c>
      <c r="M862" s="8" t="s">
        <v>304</v>
      </c>
      <c r="N862" s="8" t="s">
        <v>20</v>
      </c>
      <c r="O862" s="8" t="s">
        <v>184</v>
      </c>
      <c r="P862" s="8" t="s">
        <v>191</v>
      </c>
      <c r="Q862" s="8" t="s">
        <v>192</v>
      </c>
      <c r="R862" s="8"/>
      <c r="S862" s="8" t="s">
        <v>431</v>
      </c>
      <c r="T862" s="8"/>
      <c r="U862" s="8" t="s">
        <v>266</v>
      </c>
      <c r="V862" s="8"/>
      <c r="W862" s="8" t="s">
        <v>306</v>
      </c>
      <c r="X862" s="8" t="s">
        <v>98</v>
      </c>
      <c r="Y862" s="8" t="s">
        <v>23</v>
      </c>
    </row>
    <row r="863" spans="1:25" hidden="1" x14ac:dyDescent="0.25">
      <c r="A863" s="283" t="s">
        <v>235</v>
      </c>
      <c r="B863" s="260">
        <v>45742</v>
      </c>
      <c r="C863" s="261" t="s">
        <v>542</v>
      </c>
      <c r="D863" s="261"/>
      <c r="E863" s="262">
        <v>245000</v>
      </c>
      <c r="F863" s="262">
        <v>0</v>
      </c>
      <c r="G863" s="285">
        <f>Tabla3[[#This Row],[INGRESOS]]-Tabla3[[#This Row],[EGRESOS]]</f>
        <v>-245000</v>
      </c>
      <c r="H863" s="137">
        <v>-19963214.25</v>
      </c>
      <c r="I863" s="135">
        <v>1140</v>
      </c>
      <c r="J863" s="136">
        <f>Tabla3[[#This Row],[EGRESOS]]/Tabla3[[#This Row],[TC]]</f>
        <v>214.91228070175438</v>
      </c>
      <c r="K863" s="136">
        <f>Tabla3[[#This Row],[INGRESOS]]/Tabla3[[#This Row],[TC]]</f>
        <v>0</v>
      </c>
      <c r="L863" s="8" t="s">
        <v>303</v>
      </c>
      <c r="M863" s="8" t="s">
        <v>304</v>
      </c>
      <c r="N863" s="8" t="s">
        <v>20</v>
      </c>
      <c r="O863" s="8" t="s">
        <v>184</v>
      </c>
      <c r="P863" s="8" t="s">
        <v>194</v>
      </c>
      <c r="Q863" s="8" t="s">
        <v>196</v>
      </c>
      <c r="R863" s="8" t="s">
        <v>320</v>
      </c>
      <c r="S863" s="8" t="s">
        <v>311</v>
      </c>
      <c r="T863" s="8"/>
      <c r="U863" s="8" t="s">
        <v>277</v>
      </c>
      <c r="V863" s="8" t="s">
        <v>311</v>
      </c>
      <c r="W863" s="8" t="s">
        <v>306</v>
      </c>
      <c r="X863" s="8" t="s">
        <v>103</v>
      </c>
      <c r="Y863" s="8" t="s">
        <v>23</v>
      </c>
    </row>
    <row r="864" spans="1:25" hidden="1" x14ac:dyDescent="0.25">
      <c r="A864" s="283" t="s">
        <v>235</v>
      </c>
      <c r="B864" s="260">
        <v>45742</v>
      </c>
      <c r="C864" s="261" t="s">
        <v>637</v>
      </c>
      <c r="D864" s="261"/>
      <c r="E864" s="262">
        <v>2634.73</v>
      </c>
      <c r="F864" s="262">
        <v>0</v>
      </c>
      <c r="G864" s="285">
        <f>Tabla3[[#This Row],[INGRESOS]]-Tabla3[[#This Row],[EGRESOS]]</f>
        <v>-2634.73</v>
      </c>
      <c r="H864" s="137">
        <v>-19965848.98</v>
      </c>
      <c r="I864" s="135">
        <v>1140</v>
      </c>
      <c r="J864" s="136">
        <f>Tabla3[[#This Row],[EGRESOS]]/Tabla3[[#This Row],[TC]]</f>
        <v>2.3111666666666668</v>
      </c>
      <c r="K864" s="136">
        <f>Tabla3[[#This Row],[INGRESOS]]/Tabla3[[#This Row],[TC]]</f>
        <v>0</v>
      </c>
      <c r="L864" s="8" t="s">
        <v>303</v>
      </c>
      <c r="M864" s="8" t="s">
        <v>304</v>
      </c>
      <c r="N864" s="8" t="s">
        <v>20</v>
      </c>
      <c r="O864" s="8" t="s">
        <v>184</v>
      </c>
      <c r="P864" s="8" t="s">
        <v>187</v>
      </c>
      <c r="Q864" s="8" t="s">
        <v>188</v>
      </c>
      <c r="R864" s="8" t="s">
        <v>317</v>
      </c>
      <c r="S864" s="8"/>
      <c r="T864" s="8"/>
      <c r="U864" s="8" t="s">
        <v>261</v>
      </c>
      <c r="V864" s="8"/>
      <c r="W864" s="8" t="s">
        <v>306</v>
      </c>
      <c r="X864" s="8" t="s">
        <v>98</v>
      </c>
      <c r="Y864" s="8" t="s">
        <v>23</v>
      </c>
    </row>
    <row r="865" spans="1:25" hidden="1" x14ac:dyDescent="0.25">
      <c r="A865" s="283" t="s">
        <v>235</v>
      </c>
      <c r="B865" s="260">
        <v>45742</v>
      </c>
      <c r="C865" s="261" t="s">
        <v>637</v>
      </c>
      <c r="D865" s="261"/>
      <c r="E865" s="262">
        <v>2634.73</v>
      </c>
      <c r="F865" s="262">
        <v>0</v>
      </c>
      <c r="G865" s="285">
        <f>Tabla3[[#This Row],[INGRESOS]]-Tabla3[[#This Row],[EGRESOS]]</f>
        <v>-2634.73</v>
      </c>
      <c r="H865" s="137">
        <v>-19965848.98</v>
      </c>
      <c r="I865" s="135">
        <v>1140</v>
      </c>
      <c r="J865" s="136">
        <f>Tabla3[[#This Row],[EGRESOS]]/Tabla3[[#This Row],[TC]]</f>
        <v>2.3111666666666668</v>
      </c>
      <c r="K865" s="136">
        <f>Tabla3[[#This Row],[INGRESOS]]/Tabla3[[#This Row],[TC]]</f>
        <v>0</v>
      </c>
      <c r="L865" s="8" t="s">
        <v>303</v>
      </c>
      <c r="M865" s="8" t="s">
        <v>304</v>
      </c>
      <c r="N865" s="8" t="s">
        <v>20</v>
      </c>
      <c r="O865" s="8" t="s">
        <v>184</v>
      </c>
      <c r="P865" s="8" t="s">
        <v>187</v>
      </c>
      <c r="Q865" s="8" t="s">
        <v>188</v>
      </c>
      <c r="R865" s="8" t="s">
        <v>317</v>
      </c>
      <c r="S865" s="8"/>
      <c r="T865" s="8"/>
      <c r="U865" s="8" t="s">
        <v>261</v>
      </c>
      <c r="V865" s="8"/>
      <c r="W865" s="8" t="s">
        <v>306</v>
      </c>
      <c r="X865" s="8" t="s">
        <v>98</v>
      </c>
      <c r="Y865" s="8" t="s">
        <v>23</v>
      </c>
    </row>
    <row r="866" spans="1:25" hidden="1" x14ac:dyDescent="0.25">
      <c r="A866" s="283" t="s">
        <v>235</v>
      </c>
      <c r="B866" s="260">
        <v>45743</v>
      </c>
      <c r="C866" s="261" t="s">
        <v>323</v>
      </c>
      <c r="D866" s="261"/>
      <c r="E866" s="262">
        <v>70000</v>
      </c>
      <c r="F866" s="262">
        <v>0</v>
      </c>
      <c r="G866" s="285">
        <f>Tabla3[[#This Row],[INGRESOS]]-Tabla3[[#This Row],[EGRESOS]]</f>
        <v>-70000</v>
      </c>
      <c r="H866" s="137">
        <v>-20035848.98</v>
      </c>
      <c r="I866" s="135">
        <v>1140</v>
      </c>
      <c r="J866" s="136">
        <f>Tabla3[[#This Row],[EGRESOS]]/Tabla3[[#This Row],[TC]]</f>
        <v>61.403508771929822</v>
      </c>
      <c r="K866" s="136">
        <f>Tabla3[[#This Row],[INGRESOS]]/Tabla3[[#This Row],[TC]]</f>
        <v>0</v>
      </c>
      <c r="L866" s="8" t="s">
        <v>303</v>
      </c>
      <c r="M866" s="8" t="s">
        <v>304</v>
      </c>
      <c r="N866" s="8" t="s">
        <v>20</v>
      </c>
      <c r="O866" s="8" t="s">
        <v>214</v>
      </c>
      <c r="P866" s="8" t="s">
        <v>216</v>
      </c>
      <c r="Q866" s="8" t="s">
        <v>217</v>
      </c>
      <c r="R866" s="8" t="s">
        <v>488</v>
      </c>
      <c r="S866" s="8"/>
      <c r="T866" s="8"/>
      <c r="U866" s="8" t="s">
        <v>262</v>
      </c>
      <c r="V866" s="8"/>
      <c r="W866" s="8"/>
      <c r="X866" s="8"/>
      <c r="Y866" s="8"/>
    </row>
    <row r="867" spans="1:25" hidden="1" x14ac:dyDescent="0.25">
      <c r="A867" s="283" t="s">
        <v>235</v>
      </c>
      <c r="B867" s="260">
        <v>45743</v>
      </c>
      <c r="C867" s="261" t="s">
        <v>507</v>
      </c>
      <c r="D867" s="261"/>
      <c r="E867" s="262">
        <v>1423.17</v>
      </c>
      <c r="F867" s="262">
        <v>0</v>
      </c>
      <c r="G867" s="285">
        <f>Tabla3[[#This Row],[INGRESOS]]-Tabla3[[#This Row],[EGRESOS]]</f>
        <v>-1423.17</v>
      </c>
      <c r="H867" s="137">
        <v>-20037272.149999999</v>
      </c>
      <c r="I867" s="135">
        <v>1140</v>
      </c>
      <c r="J867" s="136">
        <f>Tabla3[[#This Row],[EGRESOS]]/Tabla3[[#This Row],[TC]]</f>
        <v>1.2483947368421053</v>
      </c>
      <c r="K867" s="136">
        <f>Tabla3[[#This Row],[INGRESOS]]/Tabla3[[#This Row],[TC]]</f>
        <v>0</v>
      </c>
      <c r="L867" s="8" t="s">
        <v>303</v>
      </c>
      <c r="M867" s="8" t="s">
        <v>304</v>
      </c>
      <c r="N867" s="8" t="s">
        <v>20</v>
      </c>
      <c r="O867" s="8" t="s">
        <v>184</v>
      </c>
      <c r="P867" s="8" t="s">
        <v>187</v>
      </c>
      <c r="Q867" s="8" t="s">
        <v>188</v>
      </c>
      <c r="R867" s="8" t="s">
        <v>653</v>
      </c>
      <c r="S867" s="8"/>
      <c r="T867" s="8"/>
      <c r="U867" s="8" t="s">
        <v>261</v>
      </c>
      <c r="V867" s="8"/>
      <c r="W867" s="8" t="s">
        <v>306</v>
      </c>
      <c r="X867" s="8" t="s">
        <v>98</v>
      </c>
      <c r="Y867" s="8" t="s">
        <v>23</v>
      </c>
    </row>
    <row r="868" spans="1:25" hidden="1" x14ac:dyDescent="0.25">
      <c r="A868" s="283" t="s">
        <v>235</v>
      </c>
      <c r="B868" s="260">
        <v>45743</v>
      </c>
      <c r="C868" s="261" t="s">
        <v>508</v>
      </c>
      <c r="D868" s="261"/>
      <c r="E868" s="262">
        <v>203.31</v>
      </c>
      <c r="F868" s="262">
        <v>0</v>
      </c>
      <c r="G868" s="285">
        <f>Tabla3[[#This Row],[INGRESOS]]-Tabla3[[#This Row],[EGRESOS]]</f>
        <v>-203.31</v>
      </c>
      <c r="H868" s="137">
        <v>-20037475.460000001</v>
      </c>
      <c r="I868" s="135">
        <v>1140</v>
      </c>
      <c r="J868" s="136">
        <f>Tabla3[[#This Row],[EGRESOS]]/Tabla3[[#This Row],[TC]]</f>
        <v>0.17834210526315789</v>
      </c>
      <c r="K868" s="136">
        <f>Tabla3[[#This Row],[INGRESOS]]/Tabla3[[#This Row],[TC]]</f>
        <v>0</v>
      </c>
      <c r="L868" s="8" t="s">
        <v>303</v>
      </c>
      <c r="M868" s="8" t="s">
        <v>304</v>
      </c>
      <c r="N868" s="8" t="s">
        <v>20</v>
      </c>
      <c r="O868" s="8" t="s">
        <v>184</v>
      </c>
      <c r="P868" s="8" t="s">
        <v>187</v>
      </c>
      <c r="Q868" s="8" t="s">
        <v>188</v>
      </c>
      <c r="R868" s="8" t="s">
        <v>334</v>
      </c>
      <c r="S868" s="8"/>
      <c r="T868" s="8"/>
      <c r="U868" s="8" t="s">
        <v>261</v>
      </c>
      <c r="V868" s="8"/>
      <c r="W868" s="8" t="s">
        <v>306</v>
      </c>
      <c r="X868" s="8" t="s">
        <v>98</v>
      </c>
      <c r="Y868" s="8" t="s">
        <v>23</v>
      </c>
    </row>
    <row r="869" spans="1:25" hidden="1" x14ac:dyDescent="0.25">
      <c r="A869" s="283" t="s">
        <v>235</v>
      </c>
      <c r="B869" s="260">
        <v>45743</v>
      </c>
      <c r="C869" s="261" t="s">
        <v>580</v>
      </c>
      <c r="D869" s="261"/>
      <c r="E869" s="262">
        <v>6777</v>
      </c>
      <c r="F869" s="262">
        <v>0</v>
      </c>
      <c r="G869" s="285">
        <f>Tabla3[[#This Row],[INGRESOS]]-Tabla3[[#This Row],[EGRESOS]]</f>
        <v>-6777</v>
      </c>
      <c r="H869" s="137">
        <v>-20044252.460000001</v>
      </c>
      <c r="I869" s="135">
        <v>1140</v>
      </c>
      <c r="J869" s="136">
        <f>Tabla3[[#This Row],[EGRESOS]]/Tabla3[[#This Row],[TC]]</f>
        <v>5.9447368421052635</v>
      </c>
      <c r="K869" s="136">
        <f>Tabla3[[#This Row],[INGRESOS]]/Tabla3[[#This Row],[TC]]</f>
        <v>0</v>
      </c>
      <c r="L869" s="8" t="s">
        <v>303</v>
      </c>
      <c r="M869" s="8" t="s">
        <v>304</v>
      </c>
      <c r="N869" s="8" t="s">
        <v>20</v>
      </c>
      <c r="O869" s="8" t="s">
        <v>184</v>
      </c>
      <c r="P869" s="8" t="s">
        <v>185</v>
      </c>
      <c r="Q869" s="8" t="s">
        <v>186</v>
      </c>
      <c r="R869" s="8"/>
      <c r="S869" s="8"/>
      <c r="T869" s="8"/>
      <c r="U869" s="8" t="s">
        <v>261</v>
      </c>
      <c r="V869" s="8"/>
      <c r="W869" s="8" t="s">
        <v>306</v>
      </c>
      <c r="X869" s="8" t="s">
        <v>98</v>
      </c>
      <c r="Y869" s="8" t="s">
        <v>23</v>
      </c>
    </row>
    <row r="870" spans="1:25" hidden="1" x14ac:dyDescent="0.25">
      <c r="A870" s="283" t="s">
        <v>235</v>
      </c>
      <c r="B870" s="260">
        <v>45743</v>
      </c>
      <c r="C870" s="261" t="s">
        <v>637</v>
      </c>
      <c r="D870" s="261"/>
      <c r="E870" s="262">
        <v>50.42</v>
      </c>
      <c r="F870" s="262">
        <v>0</v>
      </c>
      <c r="G870" s="285">
        <f>Tabla3[[#This Row],[INGRESOS]]-Tabla3[[#This Row],[EGRESOS]]</f>
        <v>-50.42</v>
      </c>
      <c r="H870" s="137">
        <v>-20044302.879999999</v>
      </c>
      <c r="I870" s="135">
        <v>1140</v>
      </c>
      <c r="J870" s="136">
        <f>Tabla3[[#This Row],[EGRESOS]]/Tabla3[[#This Row],[TC]]</f>
        <v>4.4228070175438595E-2</v>
      </c>
      <c r="K870" s="136">
        <f>Tabla3[[#This Row],[INGRESOS]]/Tabla3[[#This Row],[TC]]</f>
        <v>0</v>
      </c>
      <c r="L870" s="8" t="s">
        <v>303</v>
      </c>
      <c r="M870" s="8" t="s">
        <v>304</v>
      </c>
      <c r="N870" s="8" t="s">
        <v>20</v>
      </c>
      <c r="O870" s="8" t="s">
        <v>184</v>
      </c>
      <c r="P870" s="8" t="s">
        <v>187</v>
      </c>
      <c r="Q870" s="8" t="s">
        <v>188</v>
      </c>
      <c r="R870" s="8" t="s">
        <v>317</v>
      </c>
      <c r="S870" s="8"/>
      <c r="T870" s="8"/>
      <c r="U870" s="8" t="s">
        <v>261</v>
      </c>
      <c r="V870" s="8"/>
      <c r="W870" s="8" t="s">
        <v>306</v>
      </c>
      <c r="X870" s="8" t="s">
        <v>98</v>
      </c>
      <c r="Y870" s="8" t="s">
        <v>23</v>
      </c>
    </row>
    <row r="871" spans="1:25" hidden="1" x14ac:dyDescent="0.25">
      <c r="A871" s="283" t="s">
        <v>235</v>
      </c>
      <c r="B871" s="260">
        <v>45744</v>
      </c>
      <c r="C871" s="261" t="s">
        <v>537</v>
      </c>
      <c r="D871" s="261"/>
      <c r="E871" s="262">
        <v>52018.25</v>
      </c>
      <c r="F871" s="262">
        <v>0</v>
      </c>
      <c r="G871" s="285">
        <f>Tabla3[[#This Row],[INGRESOS]]-Tabla3[[#This Row],[EGRESOS]]</f>
        <v>-52018.25</v>
      </c>
      <c r="H871" s="137">
        <v>-20096321.129999999</v>
      </c>
      <c r="I871" s="135">
        <v>1140</v>
      </c>
      <c r="J871" s="136">
        <f>Tabla3[[#This Row],[EGRESOS]]/Tabla3[[#This Row],[TC]]</f>
        <v>45.63004385964912</v>
      </c>
      <c r="K871" s="136">
        <f>Tabla3[[#This Row],[INGRESOS]]/Tabla3[[#This Row],[TC]]</f>
        <v>0</v>
      </c>
      <c r="L871" s="8" t="s">
        <v>303</v>
      </c>
      <c r="M871" s="8" t="s">
        <v>304</v>
      </c>
      <c r="N871" s="8" t="s">
        <v>20</v>
      </c>
      <c r="O871" s="8" t="s">
        <v>214</v>
      </c>
      <c r="P871" s="8" t="s">
        <v>216</v>
      </c>
      <c r="Q871" s="8" t="s">
        <v>217</v>
      </c>
      <c r="R871" s="8" t="s">
        <v>546</v>
      </c>
      <c r="S871" s="8"/>
      <c r="T871" s="8"/>
      <c r="U871" s="8" t="s">
        <v>262</v>
      </c>
      <c r="V871" s="8"/>
      <c r="W871" s="8"/>
      <c r="X871" s="8"/>
      <c r="Y871" s="8"/>
    </row>
    <row r="872" spans="1:25" hidden="1" x14ac:dyDescent="0.25">
      <c r="A872" s="283" t="s">
        <v>235</v>
      </c>
      <c r="B872" s="260">
        <v>45747</v>
      </c>
      <c r="C872" s="261" t="s">
        <v>521</v>
      </c>
      <c r="D872" s="261" t="s">
        <v>654</v>
      </c>
      <c r="E872" s="262">
        <v>342700</v>
      </c>
      <c r="F872" s="262">
        <v>0</v>
      </c>
      <c r="G872" s="285">
        <f>Tabla3[[#This Row],[INGRESOS]]-Tabla3[[#This Row],[EGRESOS]]</f>
        <v>-342700</v>
      </c>
      <c r="H872" s="137">
        <v>-20439021.129999999</v>
      </c>
      <c r="I872" s="135">
        <v>1140</v>
      </c>
      <c r="J872" s="136">
        <f>Tabla3[[#This Row],[EGRESOS]]/Tabla3[[#This Row],[TC]]</f>
        <v>300.61403508771929</v>
      </c>
      <c r="K872" s="136">
        <f>Tabla3[[#This Row],[INGRESOS]]/Tabla3[[#This Row],[TC]]</f>
        <v>0</v>
      </c>
      <c r="L872" s="8" t="s">
        <v>303</v>
      </c>
      <c r="M872" s="8" t="s">
        <v>304</v>
      </c>
      <c r="N872" s="8" t="s">
        <v>20</v>
      </c>
      <c r="O872" s="8" t="s">
        <v>204</v>
      </c>
      <c r="P872" s="8" t="s">
        <v>205</v>
      </c>
      <c r="Q872" s="8"/>
      <c r="R872" s="8"/>
      <c r="S872" s="8" t="s">
        <v>655</v>
      </c>
      <c r="T872" s="8"/>
      <c r="U872" s="8" t="s">
        <v>260</v>
      </c>
      <c r="V872" s="8"/>
      <c r="W872" s="8" t="s">
        <v>306</v>
      </c>
      <c r="X872" s="8" t="s">
        <v>29</v>
      </c>
      <c r="Y872" s="8" t="s">
        <v>23</v>
      </c>
    </row>
    <row r="873" spans="1:25" hidden="1" x14ac:dyDescent="0.25">
      <c r="A873" s="283" t="s">
        <v>242</v>
      </c>
      <c r="B873" s="260">
        <v>45748</v>
      </c>
      <c r="C873" s="261" t="s">
        <v>507</v>
      </c>
      <c r="D873" s="261"/>
      <c r="E873" s="262">
        <v>21999.200000000001</v>
      </c>
      <c r="F873" s="262">
        <v>0</v>
      </c>
      <c r="G873" s="285">
        <f>Tabla3[[#This Row],[INGRESOS]]-Tabla3[[#This Row],[EGRESOS]]</f>
        <v>-21999.200000000001</v>
      </c>
      <c r="H873" s="137">
        <v>-20463076.530000001</v>
      </c>
      <c r="I873" s="135">
        <v>1140</v>
      </c>
      <c r="J873" s="136">
        <f>Tabla3[[#This Row],[EGRESOS]]/Tabla3[[#This Row],[TC]]</f>
        <v>19.297543859649124</v>
      </c>
      <c r="K873" s="136">
        <f>Tabla3[[#This Row],[INGRESOS]]/Tabla3[[#This Row],[TC]]</f>
        <v>0</v>
      </c>
      <c r="L873" s="8" t="s">
        <v>303</v>
      </c>
      <c r="M873" s="8" t="s">
        <v>304</v>
      </c>
      <c r="N873" s="8" t="s">
        <v>20</v>
      </c>
      <c r="O873" s="8" t="s">
        <v>184</v>
      </c>
      <c r="P873" s="8" t="s">
        <v>187</v>
      </c>
      <c r="Q873" s="8" t="s">
        <v>188</v>
      </c>
      <c r="R873" s="8" t="s">
        <v>308</v>
      </c>
      <c r="S873" s="8"/>
      <c r="T873" s="8"/>
      <c r="U873" s="8" t="s">
        <v>261</v>
      </c>
      <c r="V873" s="8"/>
      <c r="W873" s="8" t="s">
        <v>306</v>
      </c>
      <c r="X873" s="8" t="s">
        <v>98</v>
      </c>
      <c r="Y873" s="8" t="s">
        <v>23</v>
      </c>
    </row>
    <row r="874" spans="1:25" hidden="1" x14ac:dyDescent="0.25">
      <c r="A874" s="283" t="s">
        <v>242</v>
      </c>
      <c r="B874" s="260">
        <v>45748</v>
      </c>
      <c r="C874" s="261" t="s">
        <v>508</v>
      </c>
      <c r="D874" s="261"/>
      <c r="E874" s="262">
        <v>3142.74</v>
      </c>
      <c r="F874" s="262">
        <v>0</v>
      </c>
      <c r="G874" s="285">
        <f>Tabla3[[#This Row],[INGRESOS]]-Tabla3[[#This Row],[EGRESOS]]</f>
        <v>-3142.74</v>
      </c>
      <c r="H874" s="137">
        <v>-20466219.27</v>
      </c>
      <c r="I874" s="135">
        <v>1140</v>
      </c>
      <c r="J874" s="136">
        <f>Tabla3[[#This Row],[EGRESOS]]/Tabla3[[#This Row],[TC]]</f>
        <v>2.7567894736842105</v>
      </c>
      <c r="K874" s="136">
        <f>Tabla3[[#This Row],[INGRESOS]]/Tabla3[[#This Row],[TC]]</f>
        <v>0</v>
      </c>
      <c r="L874" s="8" t="s">
        <v>303</v>
      </c>
      <c r="M874" s="8" t="s">
        <v>304</v>
      </c>
      <c r="N874" s="8" t="s">
        <v>20</v>
      </c>
      <c r="O874" s="8" t="s">
        <v>184</v>
      </c>
      <c r="P874" s="8" t="s">
        <v>187</v>
      </c>
      <c r="Q874" s="8" t="s">
        <v>188</v>
      </c>
      <c r="R874" s="8" t="s">
        <v>334</v>
      </c>
      <c r="S874" s="8"/>
      <c r="T874" s="8"/>
      <c r="U874" s="8" t="s">
        <v>261</v>
      </c>
      <c r="V874" s="8"/>
      <c r="W874" s="8" t="s">
        <v>306</v>
      </c>
      <c r="X874" s="8" t="s">
        <v>98</v>
      </c>
      <c r="Y874" s="8" t="s">
        <v>23</v>
      </c>
    </row>
    <row r="875" spans="1:25" hidden="1" x14ac:dyDescent="0.25">
      <c r="A875" s="283" t="s">
        <v>242</v>
      </c>
      <c r="B875" s="260">
        <v>45748</v>
      </c>
      <c r="C875" s="261" t="s">
        <v>518</v>
      </c>
      <c r="D875" s="261"/>
      <c r="E875" s="262">
        <v>209516.16</v>
      </c>
      <c r="F875" s="262">
        <v>0</v>
      </c>
      <c r="G875" s="285">
        <f>Tabla3[[#This Row],[INGRESOS]]-Tabla3[[#This Row],[EGRESOS]]</f>
        <v>-209516.16</v>
      </c>
      <c r="H875" s="137">
        <v>-20675735.43</v>
      </c>
      <c r="I875" s="135">
        <v>1140</v>
      </c>
      <c r="J875" s="136">
        <f>Tabla3[[#This Row],[EGRESOS]]/Tabla3[[#This Row],[TC]]</f>
        <v>183.78610526315791</v>
      </c>
      <c r="K875" s="136">
        <f>Tabla3[[#This Row],[INGRESOS]]/Tabla3[[#This Row],[TC]]</f>
        <v>0</v>
      </c>
      <c r="L875" s="8" t="s">
        <v>303</v>
      </c>
      <c r="M875" s="8" t="s">
        <v>304</v>
      </c>
      <c r="N875" s="8" t="s">
        <v>20</v>
      </c>
      <c r="O875" s="8" t="s">
        <v>184</v>
      </c>
      <c r="P875" s="8" t="s">
        <v>189</v>
      </c>
      <c r="Q875" s="8" t="s">
        <v>190</v>
      </c>
      <c r="R875" s="8"/>
      <c r="S875" s="8"/>
      <c r="T875" s="8"/>
      <c r="U875" s="8" t="s">
        <v>261</v>
      </c>
      <c r="V875" s="8"/>
      <c r="W875" s="8" t="s">
        <v>306</v>
      </c>
      <c r="X875" s="8" t="s">
        <v>98</v>
      </c>
      <c r="Y875" s="8" t="s">
        <v>23</v>
      </c>
    </row>
    <row r="876" spans="1:25" hidden="1" x14ac:dyDescent="0.25">
      <c r="A876" s="283" t="s">
        <v>242</v>
      </c>
      <c r="B876" s="260">
        <v>45748</v>
      </c>
      <c r="C876" s="261" t="s">
        <v>507</v>
      </c>
      <c r="D876" s="261"/>
      <c r="E876" s="262">
        <v>20863.14</v>
      </c>
      <c r="F876" s="262">
        <v>0</v>
      </c>
      <c r="G876" s="285">
        <f>Tabla3[[#This Row],[INGRESOS]]-Tabla3[[#This Row],[EGRESOS]]</f>
        <v>-20863.14</v>
      </c>
      <c r="H876" s="137">
        <v>-20696598.57</v>
      </c>
      <c r="I876" s="135">
        <v>1140</v>
      </c>
      <c r="J876" s="136">
        <f>Tabla3[[#This Row],[EGRESOS]]/Tabla3[[#This Row],[TC]]</f>
        <v>18.300999999999998</v>
      </c>
      <c r="K876" s="136">
        <f>Tabla3[[#This Row],[INGRESOS]]/Tabla3[[#This Row],[TC]]</f>
        <v>0</v>
      </c>
      <c r="L876" s="8" t="s">
        <v>303</v>
      </c>
      <c r="M876" s="8" t="s">
        <v>304</v>
      </c>
      <c r="N876" s="8" t="s">
        <v>20</v>
      </c>
      <c r="O876" s="8" t="s">
        <v>184</v>
      </c>
      <c r="P876" s="8" t="s">
        <v>187</v>
      </c>
      <c r="Q876" s="8" t="s">
        <v>188</v>
      </c>
      <c r="R876" s="8" t="s">
        <v>308</v>
      </c>
      <c r="S876" s="8"/>
      <c r="T876" s="8"/>
      <c r="U876" s="8" t="s">
        <v>261</v>
      </c>
      <c r="V876" s="8"/>
      <c r="W876" s="8" t="s">
        <v>306</v>
      </c>
      <c r="X876" s="8" t="s">
        <v>98</v>
      </c>
      <c r="Y876" s="8" t="s">
        <v>23</v>
      </c>
    </row>
    <row r="877" spans="1:25" hidden="1" x14ac:dyDescent="0.25">
      <c r="A877" s="283" t="s">
        <v>242</v>
      </c>
      <c r="B877" s="260">
        <v>45748</v>
      </c>
      <c r="C877" s="261" t="s">
        <v>508</v>
      </c>
      <c r="D877" s="261"/>
      <c r="E877" s="262">
        <v>2980.45</v>
      </c>
      <c r="F877" s="262">
        <v>0</v>
      </c>
      <c r="G877" s="285">
        <f>Tabla3[[#This Row],[INGRESOS]]-Tabla3[[#This Row],[EGRESOS]]</f>
        <v>-2980.45</v>
      </c>
      <c r="H877" s="137">
        <v>-20699579.02</v>
      </c>
      <c r="I877" s="135">
        <v>1140</v>
      </c>
      <c r="J877" s="136">
        <f>Tabla3[[#This Row],[EGRESOS]]/Tabla3[[#This Row],[TC]]</f>
        <v>2.6144298245614035</v>
      </c>
      <c r="K877" s="136">
        <f>Tabla3[[#This Row],[INGRESOS]]/Tabla3[[#This Row],[TC]]</f>
        <v>0</v>
      </c>
      <c r="L877" s="8" t="s">
        <v>303</v>
      </c>
      <c r="M877" s="8" t="s">
        <v>304</v>
      </c>
      <c r="N877" s="8" t="s">
        <v>20</v>
      </c>
      <c r="O877" s="8" t="s">
        <v>184</v>
      </c>
      <c r="P877" s="8" t="s">
        <v>187</v>
      </c>
      <c r="Q877" s="8" t="s">
        <v>188</v>
      </c>
      <c r="R877" s="8" t="s">
        <v>334</v>
      </c>
      <c r="S877" s="8"/>
      <c r="T877" s="8"/>
      <c r="U877" s="8" t="s">
        <v>261</v>
      </c>
      <c r="V877" s="8"/>
      <c r="W877" s="8" t="s">
        <v>306</v>
      </c>
      <c r="X877" s="8" t="s">
        <v>98</v>
      </c>
      <c r="Y877" s="8" t="s">
        <v>23</v>
      </c>
    </row>
    <row r="878" spans="1:25" hidden="1" x14ac:dyDescent="0.25">
      <c r="A878" s="283" t="s">
        <v>242</v>
      </c>
      <c r="B878" s="260">
        <v>45748</v>
      </c>
      <c r="C878" s="261" t="s">
        <v>518</v>
      </c>
      <c r="D878" s="261"/>
      <c r="E878" s="262">
        <v>198696.54</v>
      </c>
      <c r="F878" s="262">
        <v>0</v>
      </c>
      <c r="G878" s="285">
        <f>Tabla3[[#This Row],[INGRESOS]]-Tabla3[[#This Row],[EGRESOS]]</f>
        <v>-198696.54</v>
      </c>
      <c r="H878" s="137">
        <v>-20898275.559999999</v>
      </c>
      <c r="I878" s="135">
        <v>1140</v>
      </c>
      <c r="J878" s="136">
        <f>Tabla3[[#This Row],[EGRESOS]]/Tabla3[[#This Row],[TC]]</f>
        <v>174.2952105263158</v>
      </c>
      <c r="K878" s="136">
        <f>Tabla3[[#This Row],[INGRESOS]]/Tabla3[[#This Row],[TC]]</f>
        <v>0</v>
      </c>
      <c r="L878" s="8" t="s">
        <v>303</v>
      </c>
      <c r="M878" s="8" t="s">
        <v>304</v>
      </c>
      <c r="N878" s="8" t="s">
        <v>20</v>
      </c>
      <c r="O878" s="8" t="s">
        <v>184</v>
      </c>
      <c r="P878" s="8" t="s">
        <v>189</v>
      </c>
      <c r="Q878" s="8" t="s">
        <v>190</v>
      </c>
      <c r="R878" s="8"/>
      <c r="S878" s="8"/>
      <c r="T878" s="8"/>
      <c r="U878" s="8" t="s">
        <v>261</v>
      </c>
      <c r="V878" s="8"/>
      <c r="W878" s="8" t="s">
        <v>306</v>
      </c>
      <c r="X878" s="8" t="s">
        <v>98</v>
      </c>
      <c r="Y878" s="8" t="s">
        <v>23</v>
      </c>
    </row>
    <row r="879" spans="1:25" hidden="1" x14ac:dyDescent="0.25">
      <c r="A879" s="283" t="s">
        <v>242</v>
      </c>
      <c r="B879" s="260">
        <v>45748</v>
      </c>
      <c r="C879" s="261" t="s">
        <v>507</v>
      </c>
      <c r="D879" s="261"/>
      <c r="E879" s="262">
        <v>19.579999999999998</v>
      </c>
      <c r="F879" s="262">
        <v>0</v>
      </c>
      <c r="G879" s="285">
        <f>Tabla3[[#This Row],[INGRESOS]]-Tabla3[[#This Row],[EGRESOS]]</f>
        <v>-19.579999999999998</v>
      </c>
      <c r="H879" s="137">
        <v>-20898295.140000001</v>
      </c>
      <c r="I879" s="135">
        <v>1140</v>
      </c>
      <c r="J879" s="136">
        <f>Tabla3[[#This Row],[EGRESOS]]/Tabla3[[#This Row],[TC]]</f>
        <v>1.7175438596491226E-2</v>
      </c>
      <c r="K879" s="136">
        <f>Tabla3[[#This Row],[INGRESOS]]/Tabla3[[#This Row],[TC]]</f>
        <v>0</v>
      </c>
      <c r="L879" s="8" t="s">
        <v>303</v>
      </c>
      <c r="M879" s="8" t="s">
        <v>304</v>
      </c>
      <c r="N879" s="8" t="s">
        <v>20</v>
      </c>
      <c r="O879" s="8" t="s">
        <v>184</v>
      </c>
      <c r="P879" s="8" t="s">
        <v>187</v>
      </c>
      <c r="Q879" s="8" t="s">
        <v>188</v>
      </c>
      <c r="R879" s="8" t="s">
        <v>308</v>
      </c>
      <c r="S879" s="8"/>
      <c r="T879" s="8"/>
      <c r="U879" s="8" t="s">
        <v>261</v>
      </c>
      <c r="V879" s="8"/>
      <c r="W879" s="8" t="s">
        <v>306</v>
      </c>
      <c r="X879" s="8" t="s">
        <v>98</v>
      </c>
      <c r="Y879" s="8" t="s">
        <v>23</v>
      </c>
    </row>
    <row r="880" spans="1:25" hidden="1" x14ac:dyDescent="0.25">
      <c r="A880" s="283" t="s">
        <v>242</v>
      </c>
      <c r="B880" s="260">
        <v>45748</v>
      </c>
      <c r="C880" s="261" t="s">
        <v>520</v>
      </c>
      <c r="D880" s="261"/>
      <c r="E880" s="262">
        <v>186.49</v>
      </c>
      <c r="F880" s="262">
        <v>0</v>
      </c>
      <c r="G880" s="285">
        <f>Tabla3[[#This Row],[INGRESOS]]-Tabla3[[#This Row],[EGRESOS]]</f>
        <v>-186.49</v>
      </c>
      <c r="H880" s="137">
        <v>-20898481.629999999</v>
      </c>
      <c r="I880" s="135">
        <v>1140</v>
      </c>
      <c r="J880" s="136">
        <f>Tabla3[[#This Row],[EGRESOS]]/Tabla3[[#This Row],[TC]]</f>
        <v>0.16358771929824562</v>
      </c>
      <c r="K880" s="136">
        <f>Tabla3[[#This Row],[INGRESOS]]/Tabla3[[#This Row],[TC]]</f>
        <v>0</v>
      </c>
      <c r="L880" s="8" t="s">
        <v>303</v>
      </c>
      <c r="M880" s="8" t="s">
        <v>304</v>
      </c>
      <c r="N880" s="8" t="s">
        <v>20</v>
      </c>
      <c r="O880" s="8" t="s">
        <v>184</v>
      </c>
      <c r="P880" s="8" t="s">
        <v>189</v>
      </c>
      <c r="Q880" s="8" t="s">
        <v>190</v>
      </c>
      <c r="R880" s="8"/>
      <c r="S880" s="8"/>
      <c r="T880" s="8"/>
      <c r="U880" s="8" t="s">
        <v>261</v>
      </c>
      <c r="V880" s="8"/>
      <c r="W880" s="8" t="s">
        <v>306</v>
      </c>
      <c r="X880" s="8" t="s">
        <v>98</v>
      </c>
      <c r="Y880" s="8" t="s">
        <v>23</v>
      </c>
    </row>
    <row r="881" spans="1:25" x14ac:dyDescent="0.25">
      <c r="A881" s="283" t="s">
        <v>242</v>
      </c>
      <c r="B881" s="260">
        <v>45748</v>
      </c>
      <c r="C881" s="261" t="s">
        <v>521</v>
      </c>
      <c r="D881" s="261" t="s">
        <v>656</v>
      </c>
      <c r="E881" s="262">
        <v>1108898.33</v>
      </c>
      <c r="F881" s="262">
        <v>0</v>
      </c>
      <c r="G881" s="285">
        <f>Tabla3[[#This Row],[INGRESOS]]-Tabla3[[#This Row],[EGRESOS]]</f>
        <v>-1108898.33</v>
      </c>
      <c r="H881" s="137">
        <v>-22007379.960000001</v>
      </c>
      <c r="I881" s="135">
        <v>1140</v>
      </c>
      <c r="J881" s="136">
        <f>Tabla3[[#This Row],[EGRESOS]]/Tabla3[[#This Row],[TC]]</f>
        <v>972.71783333333337</v>
      </c>
      <c r="K881" s="136">
        <f>Tabla3[[#This Row],[INGRESOS]]/Tabla3[[#This Row],[TC]]</f>
        <v>0</v>
      </c>
      <c r="L881" s="8" t="s">
        <v>303</v>
      </c>
      <c r="M881" s="8" t="s">
        <v>304</v>
      </c>
      <c r="N881" s="8" t="s">
        <v>20</v>
      </c>
      <c r="O881" s="8" t="s">
        <v>742</v>
      </c>
      <c r="P881" s="8" t="s">
        <v>220</v>
      </c>
      <c r="Q881" s="8" t="s">
        <v>231</v>
      </c>
      <c r="R881" s="8" t="s">
        <v>142</v>
      </c>
      <c r="S881" s="8" t="s">
        <v>625</v>
      </c>
      <c r="T881" s="8"/>
      <c r="U881" s="8" t="s">
        <v>258</v>
      </c>
      <c r="V881" s="8"/>
      <c r="W881" s="8" t="s">
        <v>306</v>
      </c>
      <c r="X881" s="8" t="s">
        <v>29</v>
      </c>
      <c r="Y881" s="8" t="s">
        <v>23</v>
      </c>
    </row>
    <row r="882" spans="1:25" x14ac:dyDescent="0.25">
      <c r="A882" s="283" t="s">
        <v>242</v>
      </c>
      <c r="B882" s="260">
        <v>45748</v>
      </c>
      <c r="C882" s="261" t="s">
        <v>561</v>
      </c>
      <c r="D882" s="261" t="s">
        <v>657</v>
      </c>
      <c r="E882" s="262">
        <v>440000</v>
      </c>
      <c r="F882" s="262">
        <v>0</v>
      </c>
      <c r="G882" s="285">
        <f>Tabla3[[#This Row],[INGRESOS]]-Tabla3[[#This Row],[EGRESOS]]</f>
        <v>-440000</v>
      </c>
      <c r="H882" s="137">
        <v>-22447379.960000001</v>
      </c>
      <c r="I882" s="135">
        <v>1140</v>
      </c>
      <c r="J882" s="136">
        <f>Tabla3[[#This Row],[EGRESOS]]/Tabla3[[#This Row],[TC]]</f>
        <v>385.96491228070175</v>
      </c>
      <c r="K882" s="136">
        <f>Tabla3[[#This Row],[INGRESOS]]/Tabla3[[#This Row],[TC]]</f>
        <v>0</v>
      </c>
      <c r="L882" s="8" t="s">
        <v>303</v>
      </c>
      <c r="M882" s="8" t="s">
        <v>304</v>
      </c>
      <c r="N882" s="8" t="s">
        <v>20</v>
      </c>
      <c r="O882" s="8" t="s">
        <v>742</v>
      </c>
      <c r="P882" s="8" t="s">
        <v>220</v>
      </c>
      <c r="Q882" s="8" t="s">
        <v>199</v>
      </c>
      <c r="R882" s="8" t="s">
        <v>226</v>
      </c>
      <c r="S882" s="8" t="s">
        <v>548</v>
      </c>
      <c r="T882" s="8" t="s">
        <v>658</v>
      </c>
      <c r="U882" s="8" t="s">
        <v>258</v>
      </c>
      <c r="V882" s="8"/>
      <c r="W882" s="8" t="s">
        <v>306</v>
      </c>
      <c r="X882" s="8" t="s">
        <v>29</v>
      </c>
      <c r="Y882" s="8" t="s">
        <v>23</v>
      </c>
    </row>
    <row r="883" spans="1:25" hidden="1" x14ac:dyDescent="0.25">
      <c r="A883" s="283" t="s">
        <v>242</v>
      </c>
      <c r="B883" s="260">
        <v>45748</v>
      </c>
      <c r="C883" s="261" t="s">
        <v>636</v>
      </c>
      <c r="D883" s="261"/>
      <c r="E883" s="262">
        <v>0</v>
      </c>
      <c r="F883" s="262">
        <v>1500000</v>
      </c>
      <c r="G883" s="285">
        <f>Tabla3[[#This Row],[INGRESOS]]-Tabla3[[#This Row],[EGRESOS]]</f>
        <v>1500000</v>
      </c>
      <c r="H883" s="137">
        <v>-20947379.960000001</v>
      </c>
      <c r="I883" s="135">
        <v>1140</v>
      </c>
      <c r="J883" s="136">
        <f>Tabla3[[#This Row],[EGRESOS]]/Tabla3[[#This Row],[TC]]</f>
        <v>0</v>
      </c>
      <c r="K883" s="136">
        <f>Tabla3[[#This Row],[INGRESOS]]/Tabla3[[#This Row],[TC]]</f>
        <v>1315.7894736842106</v>
      </c>
      <c r="L883" s="8" t="s">
        <v>303</v>
      </c>
      <c r="M883" s="8" t="s">
        <v>304</v>
      </c>
      <c r="N883" s="8" t="s">
        <v>20</v>
      </c>
      <c r="O883" s="8" t="s">
        <v>184</v>
      </c>
      <c r="P883" s="8" t="s">
        <v>194</v>
      </c>
      <c r="Q883" s="8" t="s">
        <v>236</v>
      </c>
      <c r="R883" s="8"/>
      <c r="S883" s="8" t="s">
        <v>311</v>
      </c>
      <c r="T883" s="8"/>
      <c r="U883" s="8" t="s">
        <v>272</v>
      </c>
      <c r="V883" s="8" t="s">
        <v>311</v>
      </c>
      <c r="W883" s="8" t="s">
        <v>306</v>
      </c>
      <c r="X883" s="8" t="s">
        <v>23</v>
      </c>
      <c r="Y883" s="8" t="s">
        <v>97</v>
      </c>
    </row>
    <row r="884" spans="1:25" hidden="1" x14ac:dyDescent="0.25">
      <c r="A884" s="283" t="s">
        <v>242</v>
      </c>
      <c r="B884" s="260">
        <v>45748</v>
      </c>
      <c r="C884" s="261" t="s">
        <v>507</v>
      </c>
      <c r="D884" s="261"/>
      <c r="E884" s="262">
        <v>3024</v>
      </c>
      <c r="F884" s="262">
        <v>0</v>
      </c>
      <c r="G884" s="285">
        <f>Tabla3[[#This Row],[INGRESOS]]-Tabla3[[#This Row],[EGRESOS]]</f>
        <v>-3024</v>
      </c>
      <c r="H884" s="137">
        <v>-20950403.960000001</v>
      </c>
      <c r="I884" s="135">
        <v>1140</v>
      </c>
      <c r="J884" s="136">
        <f>Tabla3[[#This Row],[EGRESOS]]/Tabla3[[#This Row],[TC]]</f>
        <v>2.6526315789473682</v>
      </c>
      <c r="K884" s="136">
        <f>Tabla3[[#This Row],[INGRESOS]]/Tabla3[[#This Row],[TC]]</f>
        <v>0</v>
      </c>
      <c r="L884" s="8" t="s">
        <v>303</v>
      </c>
      <c r="M884" s="8" t="s">
        <v>304</v>
      </c>
      <c r="N884" s="8" t="s">
        <v>20</v>
      </c>
      <c r="O884" s="8" t="s">
        <v>184</v>
      </c>
      <c r="P884" s="8" t="s">
        <v>187</v>
      </c>
      <c r="Q884" s="8" t="s">
        <v>188</v>
      </c>
      <c r="R884" s="8" t="s">
        <v>308</v>
      </c>
      <c r="S884" s="8"/>
      <c r="T884" s="8"/>
      <c r="U884" s="8" t="s">
        <v>261</v>
      </c>
      <c r="V884" s="8"/>
      <c r="W884" s="8" t="s">
        <v>306</v>
      </c>
      <c r="X884" s="8" t="s">
        <v>98</v>
      </c>
      <c r="Y884" s="8" t="s">
        <v>23</v>
      </c>
    </row>
    <row r="885" spans="1:25" hidden="1" x14ac:dyDescent="0.25">
      <c r="A885" s="283" t="s">
        <v>242</v>
      </c>
      <c r="B885" s="260">
        <v>45748</v>
      </c>
      <c r="C885" s="261" t="s">
        <v>508</v>
      </c>
      <c r="D885" s="261"/>
      <c r="E885" s="262">
        <v>432</v>
      </c>
      <c r="F885" s="262">
        <v>0</v>
      </c>
      <c r="G885" s="285">
        <f>Tabla3[[#This Row],[INGRESOS]]-Tabla3[[#This Row],[EGRESOS]]</f>
        <v>-432</v>
      </c>
      <c r="H885" s="137">
        <v>-20950835.960000001</v>
      </c>
      <c r="I885" s="135">
        <v>1140</v>
      </c>
      <c r="J885" s="136">
        <f>Tabla3[[#This Row],[EGRESOS]]/Tabla3[[#This Row],[TC]]</f>
        <v>0.37894736842105264</v>
      </c>
      <c r="K885" s="136">
        <f>Tabla3[[#This Row],[INGRESOS]]/Tabla3[[#This Row],[TC]]</f>
        <v>0</v>
      </c>
      <c r="L885" s="8" t="s">
        <v>303</v>
      </c>
      <c r="M885" s="8" t="s">
        <v>304</v>
      </c>
      <c r="N885" s="8" t="s">
        <v>20</v>
      </c>
      <c r="O885" s="8" t="s">
        <v>184</v>
      </c>
      <c r="P885" s="8" t="s">
        <v>187</v>
      </c>
      <c r="Q885" s="8" t="s">
        <v>188</v>
      </c>
      <c r="R885" s="8" t="s">
        <v>334</v>
      </c>
      <c r="S885" s="8"/>
      <c r="T885" s="8"/>
      <c r="U885" s="8" t="s">
        <v>261</v>
      </c>
      <c r="V885" s="8"/>
      <c r="W885" s="8" t="s">
        <v>306</v>
      </c>
      <c r="X885" s="8" t="s">
        <v>98</v>
      </c>
      <c r="Y885" s="8" t="s">
        <v>23</v>
      </c>
    </row>
    <row r="886" spans="1:25" hidden="1" x14ac:dyDescent="0.25">
      <c r="A886" s="283" t="s">
        <v>242</v>
      </c>
      <c r="B886" s="260">
        <v>45748</v>
      </c>
      <c r="C886" s="261" t="s">
        <v>536</v>
      </c>
      <c r="D886" s="261"/>
      <c r="E886" s="262">
        <v>14400</v>
      </c>
      <c r="F886" s="262">
        <v>0</v>
      </c>
      <c r="G886" s="285">
        <f>Tabla3[[#This Row],[INGRESOS]]-Tabla3[[#This Row],[EGRESOS]]</f>
        <v>-14400</v>
      </c>
      <c r="H886" s="137">
        <v>-20965235.960000001</v>
      </c>
      <c r="I886" s="135">
        <v>1140</v>
      </c>
      <c r="J886" s="136">
        <f>Tabla3[[#This Row],[EGRESOS]]/Tabla3[[#This Row],[TC]]</f>
        <v>12.631578947368421</v>
      </c>
      <c r="K886" s="136">
        <f>Tabla3[[#This Row],[INGRESOS]]/Tabla3[[#This Row],[TC]]</f>
        <v>0</v>
      </c>
      <c r="L886" s="8" t="s">
        <v>303</v>
      </c>
      <c r="M886" s="8" t="s">
        <v>304</v>
      </c>
      <c r="N886" s="8" t="s">
        <v>20</v>
      </c>
      <c r="O886" s="8" t="s">
        <v>184</v>
      </c>
      <c r="P886" s="8" t="s">
        <v>185</v>
      </c>
      <c r="Q886" s="8" t="s">
        <v>186</v>
      </c>
      <c r="R886" s="8"/>
      <c r="S886" s="8"/>
      <c r="T886" s="8"/>
      <c r="U886" s="8" t="s">
        <v>261</v>
      </c>
      <c r="V886" s="8"/>
      <c r="W886" s="8" t="s">
        <v>306</v>
      </c>
      <c r="X886" s="8" t="s">
        <v>98</v>
      </c>
      <c r="Y886" s="8" t="s">
        <v>23</v>
      </c>
    </row>
    <row r="887" spans="1:25" hidden="1" x14ac:dyDescent="0.25">
      <c r="A887" s="283" t="s">
        <v>242</v>
      </c>
      <c r="B887" s="260">
        <v>45748</v>
      </c>
      <c r="C887" s="261" t="s">
        <v>590</v>
      </c>
      <c r="D887" s="261"/>
      <c r="E887" s="262">
        <v>6198.49</v>
      </c>
      <c r="F887" s="262">
        <v>0</v>
      </c>
      <c r="G887" s="285">
        <f>Tabla3[[#This Row],[INGRESOS]]-Tabla3[[#This Row],[EGRESOS]]</f>
        <v>-6198.49</v>
      </c>
      <c r="H887" s="137">
        <v>-20971434.449999999</v>
      </c>
      <c r="I887" s="135">
        <v>1140</v>
      </c>
      <c r="J887" s="136">
        <f>Tabla3[[#This Row],[EGRESOS]]/Tabla3[[#This Row],[TC]]</f>
        <v>5.4372719298245613</v>
      </c>
      <c r="K887" s="136">
        <f>Tabla3[[#This Row],[INGRESOS]]/Tabla3[[#This Row],[TC]]</f>
        <v>0</v>
      </c>
      <c r="L887" s="8" t="s">
        <v>303</v>
      </c>
      <c r="M887" s="8" t="s">
        <v>304</v>
      </c>
      <c r="N887" s="8" t="s">
        <v>20</v>
      </c>
      <c r="O887" s="8" t="s">
        <v>184</v>
      </c>
      <c r="P887" s="8" t="s">
        <v>187</v>
      </c>
      <c r="Q887" s="8" t="s">
        <v>188</v>
      </c>
      <c r="R887" s="8" t="s">
        <v>339</v>
      </c>
      <c r="S887" s="8"/>
      <c r="T887" s="8"/>
      <c r="U887" s="8" t="s">
        <v>261</v>
      </c>
      <c r="V887" s="8"/>
      <c r="W887" s="8" t="s">
        <v>306</v>
      </c>
      <c r="X887" s="8" t="s">
        <v>98</v>
      </c>
      <c r="Y887" s="8" t="s">
        <v>23</v>
      </c>
    </row>
    <row r="888" spans="1:25" hidden="1" x14ac:dyDescent="0.25">
      <c r="A888" s="283" t="s">
        <v>242</v>
      </c>
      <c r="B888" s="260">
        <v>45748</v>
      </c>
      <c r="C888" s="261" t="s">
        <v>590</v>
      </c>
      <c r="D888" s="261"/>
      <c r="E888" s="262">
        <v>5599.19</v>
      </c>
      <c r="F888" s="262">
        <v>0</v>
      </c>
      <c r="G888" s="285">
        <f>Tabla3[[#This Row],[INGRESOS]]-Tabla3[[#This Row],[EGRESOS]]</f>
        <v>-5599.19</v>
      </c>
      <c r="H888" s="137">
        <v>-20977033.640000001</v>
      </c>
      <c r="I888" s="135">
        <v>1140</v>
      </c>
      <c r="J888" s="136">
        <f>Tabla3[[#This Row],[EGRESOS]]/Tabla3[[#This Row],[TC]]</f>
        <v>4.9115701754385963</v>
      </c>
      <c r="K888" s="136">
        <f>Tabla3[[#This Row],[INGRESOS]]/Tabla3[[#This Row],[TC]]</f>
        <v>0</v>
      </c>
      <c r="L888" s="8" t="s">
        <v>303</v>
      </c>
      <c r="M888" s="8" t="s">
        <v>304</v>
      </c>
      <c r="N888" s="8" t="s">
        <v>20</v>
      </c>
      <c r="O888" s="8" t="s">
        <v>184</v>
      </c>
      <c r="P888" s="8" t="s">
        <v>187</v>
      </c>
      <c r="Q888" s="8" t="s">
        <v>188</v>
      </c>
      <c r="R888" s="8" t="s">
        <v>339</v>
      </c>
      <c r="S888" s="8"/>
      <c r="T888" s="8"/>
      <c r="U888" s="8" t="s">
        <v>261</v>
      </c>
      <c r="V888" s="8"/>
      <c r="W888" s="8" t="s">
        <v>306</v>
      </c>
      <c r="X888" s="8" t="s">
        <v>98</v>
      </c>
      <c r="Y888" s="8" t="s">
        <v>23</v>
      </c>
    </row>
    <row r="889" spans="1:25" hidden="1" x14ac:dyDescent="0.25">
      <c r="A889" s="283" t="s">
        <v>242</v>
      </c>
      <c r="B889" s="260">
        <v>45748</v>
      </c>
      <c r="C889" s="261" t="s">
        <v>590</v>
      </c>
      <c r="D889" s="261"/>
      <c r="E889" s="262">
        <v>4.05</v>
      </c>
      <c r="F889" s="262">
        <v>0</v>
      </c>
      <c r="G889" s="285">
        <f>Tabla3[[#This Row],[INGRESOS]]-Tabla3[[#This Row],[EGRESOS]]</f>
        <v>-4.05</v>
      </c>
      <c r="H889" s="137">
        <v>-20977037.690000001</v>
      </c>
      <c r="I889" s="135">
        <v>1140</v>
      </c>
      <c r="J889" s="136">
        <f>Tabla3[[#This Row],[EGRESOS]]/Tabla3[[#This Row],[TC]]</f>
        <v>3.5526315789473684E-3</v>
      </c>
      <c r="K889" s="136">
        <f>Tabla3[[#This Row],[INGRESOS]]/Tabla3[[#This Row],[TC]]</f>
        <v>0</v>
      </c>
      <c r="L889" s="8" t="s">
        <v>303</v>
      </c>
      <c r="M889" s="8" t="s">
        <v>304</v>
      </c>
      <c r="N889" s="8" t="s">
        <v>20</v>
      </c>
      <c r="O889" s="8" t="s">
        <v>184</v>
      </c>
      <c r="P889" s="8" t="s">
        <v>187</v>
      </c>
      <c r="Q889" s="8" t="s">
        <v>188</v>
      </c>
      <c r="R889" s="8" t="s">
        <v>339</v>
      </c>
      <c r="S889" s="8"/>
      <c r="T889" s="8"/>
      <c r="U889" s="8" t="s">
        <v>261</v>
      </c>
      <c r="V889" s="8"/>
      <c r="W889" s="8" t="s">
        <v>306</v>
      </c>
      <c r="X889" s="8" t="s">
        <v>98</v>
      </c>
      <c r="Y889" s="8" t="s">
        <v>23</v>
      </c>
    </row>
    <row r="890" spans="1:25" hidden="1" x14ac:dyDescent="0.25">
      <c r="A890" s="283" t="s">
        <v>242</v>
      </c>
      <c r="B890" s="260">
        <v>45748</v>
      </c>
      <c r="C890" s="261" t="s">
        <v>637</v>
      </c>
      <c r="D890" s="261"/>
      <c r="E890" s="262">
        <v>9000</v>
      </c>
      <c r="F890" s="262">
        <v>0</v>
      </c>
      <c r="G890" s="285">
        <f>Tabla3[[#This Row],[INGRESOS]]-Tabla3[[#This Row],[EGRESOS]]</f>
        <v>-9000</v>
      </c>
      <c r="H890" s="137">
        <v>-20986037.690000001</v>
      </c>
      <c r="I890" s="135">
        <v>1140</v>
      </c>
      <c r="J890" s="136">
        <f>Tabla3[[#This Row],[EGRESOS]]/Tabla3[[#This Row],[TC]]</f>
        <v>7.8947368421052628</v>
      </c>
      <c r="K890" s="136">
        <f>Tabla3[[#This Row],[INGRESOS]]/Tabla3[[#This Row],[TC]]</f>
        <v>0</v>
      </c>
      <c r="L890" s="8" t="s">
        <v>303</v>
      </c>
      <c r="M890" s="8" t="s">
        <v>304</v>
      </c>
      <c r="N890" s="8" t="s">
        <v>20</v>
      </c>
      <c r="O890" s="8" t="s">
        <v>184</v>
      </c>
      <c r="P890" s="8" t="s">
        <v>187</v>
      </c>
      <c r="Q890" s="8" t="s">
        <v>188</v>
      </c>
      <c r="R890" s="8" t="s">
        <v>317</v>
      </c>
      <c r="S890" s="8"/>
      <c r="T890" s="8"/>
      <c r="U890" s="8" t="s">
        <v>261</v>
      </c>
      <c r="V890" s="8"/>
      <c r="W890" s="8" t="s">
        <v>306</v>
      </c>
      <c r="X890" s="8" t="s">
        <v>98</v>
      </c>
      <c r="Y890" s="8" t="s">
        <v>23</v>
      </c>
    </row>
    <row r="891" spans="1:25" hidden="1" x14ac:dyDescent="0.25">
      <c r="A891" s="283" t="s">
        <v>242</v>
      </c>
      <c r="B891" s="260">
        <v>45748</v>
      </c>
      <c r="C891" s="261" t="s">
        <v>637</v>
      </c>
      <c r="D891" s="261"/>
      <c r="E891" s="262">
        <v>12215.77</v>
      </c>
      <c r="F891" s="262">
        <v>0</v>
      </c>
      <c r="G891" s="285">
        <f>Tabla3[[#This Row],[INGRESOS]]-Tabla3[[#This Row],[EGRESOS]]</f>
        <v>-12215.77</v>
      </c>
      <c r="H891" s="137">
        <v>-20998253.460000001</v>
      </c>
      <c r="I891" s="135">
        <v>1140</v>
      </c>
      <c r="J891" s="136">
        <f>Tabla3[[#This Row],[EGRESOS]]/Tabla3[[#This Row],[TC]]</f>
        <v>10.715587719298245</v>
      </c>
      <c r="K891" s="136">
        <f>Tabla3[[#This Row],[INGRESOS]]/Tabla3[[#This Row],[TC]]</f>
        <v>0</v>
      </c>
      <c r="L891" s="8" t="s">
        <v>303</v>
      </c>
      <c r="M891" s="8" t="s">
        <v>304</v>
      </c>
      <c r="N891" s="8" t="s">
        <v>20</v>
      </c>
      <c r="O891" s="8" t="s">
        <v>184</v>
      </c>
      <c r="P891" s="8" t="s">
        <v>187</v>
      </c>
      <c r="Q891" s="8" t="s">
        <v>188</v>
      </c>
      <c r="R891" s="8" t="s">
        <v>317</v>
      </c>
      <c r="S891" s="8"/>
      <c r="T891" s="8"/>
      <c r="U891" s="8" t="s">
        <v>261</v>
      </c>
      <c r="V891" s="8"/>
      <c r="W891" s="8" t="s">
        <v>306</v>
      </c>
      <c r="X891" s="8" t="s">
        <v>98</v>
      </c>
      <c r="Y891" s="8" t="s">
        <v>23</v>
      </c>
    </row>
    <row r="892" spans="1:25" hidden="1" x14ac:dyDescent="0.25">
      <c r="A892" s="283" t="s">
        <v>242</v>
      </c>
      <c r="B892" s="260">
        <v>45750</v>
      </c>
      <c r="C892" s="261" t="s">
        <v>521</v>
      </c>
      <c r="D892" s="261" t="s">
        <v>659</v>
      </c>
      <c r="E892" s="262">
        <v>4254250</v>
      </c>
      <c r="F892" s="262">
        <v>0</v>
      </c>
      <c r="G892" s="285">
        <f>Tabla3[[#This Row],[INGRESOS]]-Tabla3[[#This Row],[EGRESOS]]</f>
        <v>-4254250</v>
      </c>
      <c r="H892" s="137">
        <v>-25252503.460000001</v>
      </c>
      <c r="I892" s="135">
        <v>1140</v>
      </c>
      <c r="J892" s="136">
        <f>Tabla3[[#This Row],[EGRESOS]]/Tabla3[[#This Row],[TC]]</f>
        <v>3731.7982456140353</v>
      </c>
      <c r="K892" s="136">
        <f>Tabla3[[#This Row],[INGRESOS]]/Tabla3[[#This Row],[TC]]</f>
        <v>0</v>
      </c>
      <c r="L892" s="8" t="s">
        <v>303</v>
      </c>
      <c r="M892" s="8" t="s">
        <v>304</v>
      </c>
      <c r="N892" s="8" t="s">
        <v>20</v>
      </c>
      <c r="O892" s="8" t="s">
        <v>197</v>
      </c>
      <c r="P892" s="8" t="s">
        <v>198</v>
      </c>
      <c r="Q892" s="8" t="s">
        <v>200</v>
      </c>
      <c r="R892" s="8" t="s">
        <v>202</v>
      </c>
      <c r="S892" s="8" t="s">
        <v>660</v>
      </c>
      <c r="T892" s="8"/>
      <c r="U892" s="8" t="s">
        <v>260</v>
      </c>
      <c r="V892" s="8"/>
      <c r="W892" s="8" t="s">
        <v>306</v>
      </c>
      <c r="X892" s="8" t="s">
        <v>29</v>
      </c>
      <c r="Y892" s="8" t="s">
        <v>23</v>
      </c>
    </row>
    <row r="893" spans="1:25" hidden="1" x14ac:dyDescent="0.25">
      <c r="A893" s="283" t="s">
        <v>242</v>
      </c>
      <c r="B893" s="260">
        <v>45750</v>
      </c>
      <c r="C893" s="261" t="s">
        <v>507</v>
      </c>
      <c r="D893" s="261"/>
      <c r="E893" s="262">
        <v>3024</v>
      </c>
      <c r="F893" s="262">
        <v>0</v>
      </c>
      <c r="G893" s="285">
        <f>Tabla3[[#This Row],[INGRESOS]]-Tabla3[[#This Row],[EGRESOS]]</f>
        <v>-3024</v>
      </c>
      <c r="H893" s="137">
        <v>-25255527.460000001</v>
      </c>
      <c r="I893" s="135">
        <v>1140</v>
      </c>
      <c r="J893" s="136">
        <f>Tabla3[[#This Row],[EGRESOS]]/Tabla3[[#This Row],[TC]]</f>
        <v>2.6526315789473682</v>
      </c>
      <c r="K893" s="136">
        <f>Tabla3[[#This Row],[INGRESOS]]/Tabla3[[#This Row],[TC]]</f>
        <v>0</v>
      </c>
      <c r="L893" s="8" t="s">
        <v>303</v>
      </c>
      <c r="M893" s="8" t="s">
        <v>304</v>
      </c>
      <c r="N893" s="8" t="s">
        <v>20</v>
      </c>
      <c r="O893" s="8" t="s">
        <v>184</v>
      </c>
      <c r="P893" s="8" t="s">
        <v>187</v>
      </c>
      <c r="Q893" s="8" t="s">
        <v>188</v>
      </c>
      <c r="R893" s="8" t="s">
        <v>308</v>
      </c>
      <c r="S893" s="8"/>
      <c r="T893" s="8"/>
      <c r="U893" s="8" t="s">
        <v>261</v>
      </c>
      <c r="V893" s="8"/>
      <c r="W893" s="8" t="s">
        <v>306</v>
      </c>
      <c r="X893" s="8" t="s">
        <v>98</v>
      </c>
      <c r="Y893" s="8" t="s">
        <v>23</v>
      </c>
    </row>
    <row r="894" spans="1:25" hidden="1" x14ac:dyDescent="0.25">
      <c r="A894" s="283" t="s">
        <v>242</v>
      </c>
      <c r="B894" s="260">
        <v>45750</v>
      </c>
      <c r="C894" s="261" t="s">
        <v>508</v>
      </c>
      <c r="D894" s="261"/>
      <c r="E894" s="262">
        <v>432</v>
      </c>
      <c r="F894" s="262">
        <v>0</v>
      </c>
      <c r="G894" s="285">
        <f>Tabla3[[#This Row],[INGRESOS]]-Tabla3[[#This Row],[EGRESOS]]</f>
        <v>-432</v>
      </c>
      <c r="H894" s="137">
        <v>-25255959.460000001</v>
      </c>
      <c r="I894" s="135">
        <v>1140</v>
      </c>
      <c r="J894" s="136">
        <f>Tabla3[[#This Row],[EGRESOS]]/Tabla3[[#This Row],[TC]]</f>
        <v>0.37894736842105264</v>
      </c>
      <c r="K894" s="136">
        <f>Tabla3[[#This Row],[INGRESOS]]/Tabla3[[#This Row],[TC]]</f>
        <v>0</v>
      </c>
      <c r="L894" s="8" t="s">
        <v>303</v>
      </c>
      <c r="M894" s="8" t="s">
        <v>304</v>
      </c>
      <c r="N894" s="8" t="s">
        <v>20</v>
      </c>
      <c r="O894" s="8" t="s">
        <v>184</v>
      </c>
      <c r="P894" s="8" t="s">
        <v>187</v>
      </c>
      <c r="Q894" s="8" t="s">
        <v>188</v>
      </c>
      <c r="R894" s="8" t="s">
        <v>334</v>
      </c>
      <c r="S894" s="8"/>
      <c r="T894" s="8"/>
      <c r="U894" s="8" t="s">
        <v>261</v>
      </c>
      <c r="V894" s="8"/>
      <c r="W894" s="8" t="s">
        <v>306</v>
      </c>
      <c r="X894" s="8" t="s">
        <v>98</v>
      </c>
      <c r="Y894" s="8" t="s">
        <v>23</v>
      </c>
    </row>
    <row r="895" spans="1:25" hidden="1" x14ac:dyDescent="0.25">
      <c r="A895" s="283" t="s">
        <v>242</v>
      </c>
      <c r="B895" s="260">
        <v>45750</v>
      </c>
      <c r="C895" s="261" t="s">
        <v>536</v>
      </c>
      <c r="D895" s="261"/>
      <c r="E895" s="262">
        <v>14400</v>
      </c>
      <c r="F895" s="262">
        <v>0</v>
      </c>
      <c r="G895" s="285">
        <f>Tabla3[[#This Row],[INGRESOS]]-Tabla3[[#This Row],[EGRESOS]]</f>
        <v>-14400</v>
      </c>
      <c r="H895" s="137">
        <v>-25270359.460000001</v>
      </c>
      <c r="I895" s="135">
        <v>1140</v>
      </c>
      <c r="J895" s="136">
        <f>Tabla3[[#This Row],[EGRESOS]]/Tabla3[[#This Row],[TC]]</f>
        <v>12.631578947368421</v>
      </c>
      <c r="K895" s="136">
        <f>Tabla3[[#This Row],[INGRESOS]]/Tabla3[[#This Row],[TC]]</f>
        <v>0</v>
      </c>
      <c r="L895" s="8" t="s">
        <v>303</v>
      </c>
      <c r="M895" s="8" t="s">
        <v>304</v>
      </c>
      <c r="N895" s="8" t="s">
        <v>20</v>
      </c>
      <c r="O895" s="8" t="s">
        <v>184</v>
      </c>
      <c r="P895" s="8" t="s">
        <v>185</v>
      </c>
      <c r="Q895" s="8" t="s">
        <v>186</v>
      </c>
      <c r="R895" s="8"/>
      <c r="S895" s="8"/>
      <c r="T895" s="8"/>
      <c r="U895" s="8" t="s">
        <v>261</v>
      </c>
      <c r="V895" s="8"/>
      <c r="W895" s="8" t="s">
        <v>306</v>
      </c>
      <c r="X895" s="8" t="s">
        <v>98</v>
      </c>
      <c r="Y895" s="8" t="s">
        <v>23</v>
      </c>
    </row>
    <row r="896" spans="1:25" hidden="1" x14ac:dyDescent="0.25">
      <c r="A896" s="283" t="s">
        <v>242</v>
      </c>
      <c r="B896" s="260">
        <v>45750</v>
      </c>
      <c r="C896" s="261" t="s">
        <v>637</v>
      </c>
      <c r="D896" s="261"/>
      <c r="E896" s="262">
        <v>25632.639999999999</v>
      </c>
      <c r="F896" s="262">
        <v>0</v>
      </c>
      <c r="G896" s="285">
        <f>Tabla3[[#This Row],[INGRESOS]]-Tabla3[[#This Row],[EGRESOS]]</f>
        <v>-25632.639999999999</v>
      </c>
      <c r="H896" s="137">
        <v>-25295992.100000001</v>
      </c>
      <c r="I896" s="135">
        <v>1140</v>
      </c>
      <c r="J896" s="136">
        <f>Tabla3[[#This Row],[EGRESOS]]/Tabla3[[#This Row],[TC]]</f>
        <v>22.484771929824561</v>
      </c>
      <c r="K896" s="136">
        <f>Tabla3[[#This Row],[INGRESOS]]/Tabla3[[#This Row],[TC]]</f>
        <v>0</v>
      </c>
      <c r="L896" s="8" t="s">
        <v>303</v>
      </c>
      <c r="M896" s="8" t="s">
        <v>304</v>
      </c>
      <c r="N896" s="8" t="s">
        <v>20</v>
      </c>
      <c r="O896" s="8" t="s">
        <v>184</v>
      </c>
      <c r="P896" s="8" t="s">
        <v>187</v>
      </c>
      <c r="Q896" s="8" t="s">
        <v>188</v>
      </c>
      <c r="R896" s="8" t="s">
        <v>317</v>
      </c>
      <c r="S896" s="8"/>
      <c r="T896" s="8"/>
      <c r="U896" s="8" t="s">
        <v>261</v>
      </c>
      <c r="V896" s="8"/>
      <c r="W896" s="8" t="s">
        <v>306</v>
      </c>
      <c r="X896" s="8" t="s">
        <v>98</v>
      </c>
      <c r="Y896" s="8" t="s">
        <v>23</v>
      </c>
    </row>
    <row r="897" spans="1:25" hidden="1" x14ac:dyDescent="0.25">
      <c r="A897" s="283" t="s">
        <v>242</v>
      </c>
      <c r="B897" s="260">
        <v>45751</v>
      </c>
      <c r="C897" s="261" t="s">
        <v>521</v>
      </c>
      <c r="D897" s="261" t="s">
        <v>661</v>
      </c>
      <c r="E897" s="262">
        <v>1229406</v>
      </c>
      <c r="F897" s="262">
        <v>0</v>
      </c>
      <c r="G897" s="285">
        <f>Tabla3[[#This Row],[INGRESOS]]-Tabla3[[#This Row],[EGRESOS]]</f>
        <v>-1229406</v>
      </c>
      <c r="H897" s="137">
        <v>-26525398.100000001</v>
      </c>
      <c r="I897" s="135">
        <v>1140</v>
      </c>
      <c r="J897" s="136">
        <f>Tabla3[[#This Row],[EGRESOS]]/Tabla3[[#This Row],[TC]]</f>
        <v>1078.4263157894736</v>
      </c>
      <c r="K897" s="136">
        <f>Tabla3[[#This Row],[INGRESOS]]/Tabla3[[#This Row],[TC]]</f>
        <v>0</v>
      </c>
      <c r="L897" s="8" t="s">
        <v>303</v>
      </c>
      <c r="M897" s="8" t="s">
        <v>304</v>
      </c>
      <c r="N897" s="8" t="s">
        <v>20</v>
      </c>
      <c r="O897" s="8" t="s">
        <v>197</v>
      </c>
      <c r="P897" s="8" t="s">
        <v>198</v>
      </c>
      <c r="Q897" s="8" t="s">
        <v>201</v>
      </c>
      <c r="R897" s="8" t="s">
        <v>202</v>
      </c>
      <c r="S897" s="8" t="s">
        <v>573</v>
      </c>
      <c r="T897" s="8"/>
      <c r="U897" s="8" t="s">
        <v>260</v>
      </c>
      <c r="V897" s="8"/>
      <c r="W897" s="8" t="s">
        <v>306</v>
      </c>
      <c r="X897" s="8" t="s">
        <v>29</v>
      </c>
      <c r="Y897" s="8" t="s">
        <v>23</v>
      </c>
    </row>
    <row r="898" spans="1:25" hidden="1" x14ac:dyDescent="0.25">
      <c r="A898" s="283" t="s">
        <v>242</v>
      </c>
      <c r="B898" s="260">
        <v>45751</v>
      </c>
      <c r="C898" s="261" t="s">
        <v>662</v>
      </c>
      <c r="D898" s="261"/>
      <c r="E898" s="262">
        <v>0</v>
      </c>
      <c r="F898" s="262">
        <v>700000</v>
      </c>
      <c r="G898" s="285">
        <f>Tabla3[[#This Row],[INGRESOS]]-Tabla3[[#This Row],[EGRESOS]]</f>
        <v>700000</v>
      </c>
      <c r="H898" s="137">
        <v>-25825398.100000001</v>
      </c>
      <c r="I898" s="135">
        <v>1140</v>
      </c>
      <c r="J898" s="136">
        <f>Tabla3[[#This Row],[EGRESOS]]/Tabla3[[#This Row],[TC]]</f>
        <v>0</v>
      </c>
      <c r="K898" s="136">
        <f>Tabla3[[#This Row],[INGRESOS]]/Tabla3[[#This Row],[TC]]</f>
        <v>614.03508771929819</v>
      </c>
      <c r="L898" s="8" t="s">
        <v>303</v>
      </c>
      <c r="M898" s="8" t="s">
        <v>304</v>
      </c>
      <c r="N898" s="8" t="s">
        <v>20</v>
      </c>
      <c r="O898" s="8" t="s">
        <v>184</v>
      </c>
      <c r="P898" s="8" t="s">
        <v>194</v>
      </c>
      <c r="Q898" s="8" t="s">
        <v>236</v>
      </c>
      <c r="R898" s="8"/>
      <c r="S898" s="8" t="s">
        <v>311</v>
      </c>
      <c r="T898" s="8"/>
      <c r="U898" s="8" t="s">
        <v>272</v>
      </c>
      <c r="V898" s="8" t="s">
        <v>311</v>
      </c>
      <c r="W898" s="8" t="s">
        <v>306</v>
      </c>
      <c r="X898" s="8" t="s">
        <v>23</v>
      </c>
      <c r="Y898" s="8" t="s">
        <v>97</v>
      </c>
    </row>
    <row r="899" spans="1:25" hidden="1" x14ac:dyDescent="0.25">
      <c r="A899" s="283" t="s">
        <v>242</v>
      </c>
      <c r="B899" s="260">
        <v>45751</v>
      </c>
      <c r="C899" s="261" t="s">
        <v>663</v>
      </c>
      <c r="D899" s="261"/>
      <c r="E899" s="262">
        <v>0</v>
      </c>
      <c r="F899" s="262">
        <v>520000</v>
      </c>
      <c r="G899" s="285">
        <f>Tabla3[[#This Row],[INGRESOS]]-Tabla3[[#This Row],[EGRESOS]]</f>
        <v>520000</v>
      </c>
      <c r="H899" s="137">
        <v>-25305398.100000001</v>
      </c>
      <c r="I899" s="135">
        <v>1140</v>
      </c>
      <c r="J899" s="136">
        <f>Tabla3[[#This Row],[EGRESOS]]/Tabla3[[#This Row],[TC]]</f>
        <v>0</v>
      </c>
      <c r="K899" s="136">
        <f>Tabla3[[#This Row],[INGRESOS]]/Tabla3[[#This Row],[TC]]</f>
        <v>456.14035087719299</v>
      </c>
      <c r="L899" s="8" t="s">
        <v>303</v>
      </c>
      <c r="M899" s="8" t="s">
        <v>304</v>
      </c>
      <c r="N899" s="8" t="s">
        <v>20</v>
      </c>
      <c r="O899" s="8" t="s">
        <v>214</v>
      </c>
      <c r="P899" s="8" t="s">
        <v>216</v>
      </c>
      <c r="Q899" s="8" t="s">
        <v>217</v>
      </c>
      <c r="R899" s="8" t="s">
        <v>664</v>
      </c>
      <c r="S899" s="8"/>
      <c r="T899" s="8"/>
      <c r="U899" s="8" t="s">
        <v>262</v>
      </c>
      <c r="V899" s="8"/>
      <c r="W899" s="8" t="s">
        <v>306</v>
      </c>
      <c r="X899" s="8"/>
      <c r="Y899" s="8"/>
    </row>
    <row r="900" spans="1:25" hidden="1" x14ac:dyDescent="0.25">
      <c r="A900" s="283" t="s">
        <v>242</v>
      </c>
      <c r="B900" s="260">
        <v>45751</v>
      </c>
      <c r="C900" s="261" t="s">
        <v>636</v>
      </c>
      <c r="D900" s="261"/>
      <c r="E900" s="262">
        <v>0</v>
      </c>
      <c r="F900" s="262">
        <v>30000</v>
      </c>
      <c r="G900" s="285">
        <f>Tabla3[[#This Row],[INGRESOS]]-Tabla3[[#This Row],[EGRESOS]]</f>
        <v>30000</v>
      </c>
      <c r="H900" s="137">
        <v>-25275398.100000001</v>
      </c>
      <c r="I900" s="135">
        <v>1140</v>
      </c>
      <c r="J900" s="136">
        <f>Tabla3[[#This Row],[EGRESOS]]/Tabla3[[#This Row],[TC]]</f>
        <v>0</v>
      </c>
      <c r="K900" s="136">
        <f>Tabla3[[#This Row],[INGRESOS]]/Tabla3[[#This Row],[TC]]</f>
        <v>26.315789473684209</v>
      </c>
      <c r="L900" s="8" t="s">
        <v>303</v>
      </c>
      <c r="M900" s="8" t="s">
        <v>304</v>
      </c>
      <c r="N900" s="8" t="s">
        <v>20</v>
      </c>
      <c r="O900" s="8" t="s">
        <v>184</v>
      </c>
      <c r="P900" s="8" t="s">
        <v>194</v>
      </c>
      <c r="Q900" s="8" t="s">
        <v>236</v>
      </c>
      <c r="R900" s="8"/>
      <c r="S900" s="8" t="s">
        <v>311</v>
      </c>
      <c r="T900" s="8"/>
      <c r="U900" s="8" t="s">
        <v>272</v>
      </c>
      <c r="V900" s="8" t="s">
        <v>311</v>
      </c>
      <c r="W900" s="8" t="s">
        <v>306</v>
      </c>
      <c r="X900" s="8" t="s">
        <v>23</v>
      </c>
      <c r="Y900" s="8" t="s">
        <v>97</v>
      </c>
    </row>
    <row r="901" spans="1:25" hidden="1" x14ac:dyDescent="0.25">
      <c r="A901" s="283" t="s">
        <v>242</v>
      </c>
      <c r="B901" s="260">
        <v>45751</v>
      </c>
      <c r="C901" s="261" t="s">
        <v>507</v>
      </c>
      <c r="D901" s="261"/>
      <c r="E901" s="262">
        <v>3024</v>
      </c>
      <c r="F901" s="262">
        <v>0</v>
      </c>
      <c r="G901" s="285">
        <f>Tabla3[[#This Row],[INGRESOS]]-Tabla3[[#This Row],[EGRESOS]]</f>
        <v>-3024</v>
      </c>
      <c r="H901" s="137">
        <v>-25278422.100000001</v>
      </c>
      <c r="I901" s="135">
        <v>1140</v>
      </c>
      <c r="J901" s="136">
        <f>Tabla3[[#This Row],[EGRESOS]]/Tabla3[[#This Row],[TC]]</f>
        <v>2.6526315789473682</v>
      </c>
      <c r="K901" s="136">
        <f>Tabla3[[#This Row],[INGRESOS]]/Tabla3[[#This Row],[TC]]</f>
        <v>0</v>
      </c>
      <c r="L901" s="8" t="s">
        <v>303</v>
      </c>
      <c r="M901" s="8" t="s">
        <v>304</v>
      </c>
      <c r="N901" s="8" t="s">
        <v>20</v>
      </c>
      <c r="O901" s="8" t="s">
        <v>184</v>
      </c>
      <c r="P901" s="8" t="s">
        <v>187</v>
      </c>
      <c r="Q901" s="8" t="s">
        <v>188</v>
      </c>
      <c r="R901" s="8" t="s">
        <v>308</v>
      </c>
      <c r="S901" s="8"/>
      <c r="T901" s="8"/>
      <c r="U901" s="8" t="s">
        <v>261</v>
      </c>
      <c r="V901" s="8"/>
      <c r="W901" s="8" t="s">
        <v>306</v>
      </c>
      <c r="X901" s="8" t="s">
        <v>98</v>
      </c>
      <c r="Y901" s="8" t="s">
        <v>23</v>
      </c>
    </row>
    <row r="902" spans="1:25" hidden="1" x14ac:dyDescent="0.25">
      <c r="A902" s="283" t="s">
        <v>242</v>
      </c>
      <c r="B902" s="260">
        <v>45751</v>
      </c>
      <c r="C902" s="261" t="s">
        <v>508</v>
      </c>
      <c r="D902" s="261"/>
      <c r="E902" s="262">
        <v>432</v>
      </c>
      <c r="F902" s="262">
        <v>0</v>
      </c>
      <c r="G902" s="285">
        <f>Tabla3[[#This Row],[INGRESOS]]-Tabla3[[#This Row],[EGRESOS]]</f>
        <v>-432</v>
      </c>
      <c r="H902" s="137">
        <v>-25278854.100000001</v>
      </c>
      <c r="I902" s="135">
        <v>1140</v>
      </c>
      <c r="J902" s="136">
        <f>Tabla3[[#This Row],[EGRESOS]]/Tabla3[[#This Row],[TC]]</f>
        <v>0.37894736842105264</v>
      </c>
      <c r="K902" s="136">
        <f>Tabla3[[#This Row],[INGRESOS]]/Tabla3[[#This Row],[TC]]</f>
        <v>0</v>
      </c>
      <c r="L902" s="8" t="s">
        <v>303</v>
      </c>
      <c r="M902" s="8" t="s">
        <v>304</v>
      </c>
      <c r="N902" s="8" t="s">
        <v>20</v>
      </c>
      <c r="O902" s="8" t="s">
        <v>184</v>
      </c>
      <c r="P902" s="8" t="s">
        <v>187</v>
      </c>
      <c r="Q902" s="8" t="s">
        <v>188</v>
      </c>
      <c r="R902" s="8" t="s">
        <v>334</v>
      </c>
      <c r="S902" s="8"/>
      <c r="T902" s="8"/>
      <c r="U902" s="8" t="s">
        <v>261</v>
      </c>
      <c r="V902" s="8"/>
      <c r="W902" s="8" t="s">
        <v>306</v>
      </c>
      <c r="X902" s="8" t="s">
        <v>98</v>
      </c>
      <c r="Y902" s="8" t="s">
        <v>23</v>
      </c>
    </row>
    <row r="903" spans="1:25" hidden="1" x14ac:dyDescent="0.25">
      <c r="A903" s="283" t="s">
        <v>242</v>
      </c>
      <c r="B903" s="260">
        <v>45751</v>
      </c>
      <c r="C903" s="261" t="s">
        <v>536</v>
      </c>
      <c r="D903" s="261"/>
      <c r="E903" s="262">
        <v>14400</v>
      </c>
      <c r="F903" s="262">
        <v>0</v>
      </c>
      <c r="G903" s="285">
        <f>Tabla3[[#This Row],[INGRESOS]]-Tabla3[[#This Row],[EGRESOS]]</f>
        <v>-14400</v>
      </c>
      <c r="H903" s="137">
        <v>-25293254.100000001</v>
      </c>
      <c r="I903" s="135">
        <v>1140</v>
      </c>
      <c r="J903" s="136">
        <f>Tabla3[[#This Row],[EGRESOS]]/Tabla3[[#This Row],[TC]]</f>
        <v>12.631578947368421</v>
      </c>
      <c r="K903" s="136">
        <f>Tabla3[[#This Row],[INGRESOS]]/Tabla3[[#This Row],[TC]]</f>
        <v>0</v>
      </c>
      <c r="L903" s="8" t="s">
        <v>303</v>
      </c>
      <c r="M903" s="8" t="s">
        <v>304</v>
      </c>
      <c r="N903" s="8" t="s">
        <v>20</v>
      </c>
      <c r="O903" s="8" t="s">
        <v>184</v>
      </c>
      <c r="P903" s="8" t="s">
        <v>185</v>
      </c>
      <c r="Q903" s="8" t="s">
        <v>186</v>
      </c>
      <c r="R903" s="8"/>
      <c r="S903" s="8"/>
      <c r="T903" s="8"/>
      <c r="U903" s="8" t="s">
        <v>261</v>
      </c>
      <c r="V903" s="8"/>
      <c r="W903" s="8" t="s">
        <v>306</v>
      </c>
      <c r="X903" s="8" t="s">
        <v>98</v>
      </c>
      <c r="Y903" s="8" t="s">
        <v>23</v>
      </c>
    </row>
    <row r="904" spans="1:25" hidden="1" x14ac:dyDescent="0.25">
      <c r="A904" s="283" t="s">
        <v>242</v>
      </c>
      <c r="B904" s="260">
        <v>45751</v>
      </c>
      <c r="C904" s="261" t="s">
        <v>637</v>
      </c>
      <c r="D904" s="261"/>
      <c r="E904" s="262">
        <v>4380</v>
      </c>
      <c r="F904" s="262">
        <v>0</v>
      </c>
      <c r="G904" s="285">
        <f>Tabla3[[#This Row],[INGRESOS]]-Tabla3[[#This Row],[EGRESOS]]</f>
        <v>-4380</v>
      </c>
      <c r="H904" s="137">
        <v>-25297634.100000001</v>
      </c>
      <c r="I904" s="135">
        <v>1140</v>
      </c>
      <c r="J904" s="136">
        <f>Tabla3[[#This Row],[EGRESOS]]/Tabla3[[#This Row],[TC]]</f>
        <v>3.8421052631578947</v>
      </c>
      <c r="K904" s="136">
        <f>Tabla3[[#This Row],[INGRESOS]]/Tabla3[[#This Row],[TC]]</f>
        <v>0</v>
      </c>
      <c r="L904" s="8" t="s">
        <v>303</v>
      </c>
      <c r="M904" s="8" t="s">
        <v>304</v>
      </c>
      <c r="N904" s="8" t="s">
        <v>20</v>
      </c>
      <c r="O904" s="8" t="s">
        <v>184</v>
      </c>
      <c r="P904" s="8" t="s">
        <v>187</v>
      </c>
      <c r="Q904" s="8" t="s">
        <v>188</v>
      </c>
      <c r="R904" s="8" t="s">
        <v>317</v>
      </c>
      <c r="S904" s="8"/>
      <c r="T904" s="8"/>
      <c r="U904" s="8" t="s">
        <v>261</v>
      </c>
      <c r="V904" s="8"/>
      <c r="W904" s="8" t="s">
        <v>306</v>
      </c>
      <c r="X904" s="8" t="s">
        <v>98</v>
      </c>
      <c r="Y904" s="8" t="s">
        <v>23</v>
      </c>
    </row>
    <row r="905" spans="1:25" hidden="1" x14ac:dyDescent="0.25">
      <c r="A905" s="283" t="s">
        <v>242</v>
      </c>
      <c r="B905" s="260">
        <v>45751</v>
      </c>
      <c r="C905" s="261" t="s">
        <v>637</v>
      </c>
      <c r="D905" s="261"/>
      <c r="E905" s="262">
        <v>7483.58</v>
      </c>
      <c r="F905" s="262">
        <v>0</v>
      </c>
      <c r="G905" s="285">
        <f>Tabla3[[#This Row],[INGRESOS]]-Tabla3[[#This Row],[EGRESOS]]</f>
        <v>-7483.58</v>
      </c>
      <c r="H905" s="137">
        <v>-25305117.68</v>
      </c>
      <c r="I905" s="135">
        <v>1140</v>
      </c>
      <c r="J905" s="136">
        <f>Tabla3[[#This Row],[EGRESOS]]/Tabla3[[#This Row],[TC]]</f>
        <v>6.564543859649123</v>
      </c>
      <c r="K905" s="136">
        <f>Tabla3[[#This Row],[INGRESOS]]/Tabla3[[#This Row],[TC]]</f>
        <v>0</v>
      </c>
      <c r="L905" s="8" t="s">
        <v>303</v>
      </c>
      <c r="M905" s="8" t="s">
        <v>304</v>
      </c>
      <c r="N905" s="8" t="s">
        <v>20</v>
      </c>
      <c r="O905" s="8" t="s">
        <v>184</v>
      </c>
      <c r="P905" s="8" t="s">
        <v>187</v>
      </c>
      <c r="Q905" s="8" t="s">
        <v>188</v>
      </c>
      <c r="R905" s="8" t="s">
        <v>317</v>
      </c>
      <c r="S905" s="8"/>
      <c r="T905" s="8"/>
      <c r="U905" s="8" t="s">
        <v>261</v>
      </c>
      <c r="V905" s="8"/>
      <c r="W905" s="8" t="s">
        <v>306</v>
      </c>
      <c r="X905" s="8" t="s">
        <v>98</v>
      </c>
      <c r="Y905" s="8" t="s">
        <v>23</v>
      </c>
    </row>
    <row r="906" spans="1:25" hidden="1" x14ac:dyDescent="0.25">
      <c r="A906" s="283" t="s">
        <v>242</v>
      </c>
      <c r="B906" s="260">
        <v>45756</v>
      </c>
      <c r="C906" s="261" t="s">
        <v>521</v>
      </c>
      <c r="D906" s="261" t="s">
        <v>665</v>
      </c>
      <c r="E906" s="262">
        <v>250000</v>
      </c>
      <c r="F906" s="262">
        <v>0</v>
      </c>
      <c r="G906" s="285">
        <f>Tabla3[[#This Row],[INGRESOS]]-Tabla3[[#This Row],[EGRESOS]]</f>
        <v>-250000</v>
      </c>
      <c r="H906" s="137">
        <v>-25555117.68</v>
      </c>
      <c r="I906" s="135">
        <v>1140</v>
      </c>
      <c r="J906" s="136">
        <f>Tabla3[[#This Row],[EGRESOS]]/Tabla3[[#This Row],[TC]]</f>
        <v>219.2982456140351</v>
      </c>
      <c r="K906" s="136">
        <f>Tabla3[[#This Row],[INGRESOS]]/Tabla3[[#This Row],[TC]]</f>
        <v>0</v>
      </c>
      <c r="L906" s="8" t="s">
        <v>303</v>
      </c>
      <c r="M906" s="8" t="s">
        <v>304</v>
      </c>
      <c r="N906" s="8" t="s">
        <v>20</v>
      </c>
      <c r="O906" s="8" t="s">
        <v>184</v>
      </c>
      <c r="P906" s="8" t="s">
        <v>191</v>
      </c>
      <c r="Q906" s="8" t="s">
        <v>193</v>
      </c>
      <c r="R906" s="8" t="s">
        <v>666</v>
      </c>
      <c r="S906" s="8" t="s">
        <v>313</v>
      </c>
      <c r="T906" s="8"/>
      <c r="U906" s="8" t="s">
        <v>266</v>
      </c>
      <c r="V906" s="8"/>
      <c r="W906" s="8" t="s">
        <v>306</v>
      </c>
      <c r="X906" s="8" t="s">
        <v>98</v>
      </c>
      <c r="Y906" s="8" t="s">
        <v>23</v>
      </c>
    </row>
    <row r="907" spans="1:25" hidden="1" x14ac:dyDescent="0.25">
      <c r="A907" s="283" t="s">
        <v>242</v>
      </c>
      <c r="B907" s="260">
        <v>45756</v>
      </c>
      <c r="C907" s="261" t="s">
        <v>553</v>
      </c>
      <c r="D907" s="261"/>
      <c r="E907" s="262">
        <v>0</v>
      </c>
      <c r="F907" s="262">
        <v>300000</v>
      </c>
      <c r="G907" s="285">
        <f>Tabla3[[#This Row],[INGRESOS]]-Tabla3[[#This Row],[EGRESOS]]</f>
        <v>300000</v>
      </c>
      <c r="H907" s="137">
        <v>-25255117.68</v>
      </c>
      <c r="I907" s="135">
        <v>1140</v>
      </c>
      <c r="J907" s="136">
        <f>Tabla3[[#This Row],[EGRESOS]]/Tabla3[[#This Row],[TC]]</f>
        <v>0</v>
      </c>
      <c r="K907" s="136">
        <f>Tabla3[[#This Row],[INGRESOS]]/Tabla3[[#This Row],[TC]]</f>
        <v>263.15789473684208</v>
      </c>
      <c r="L907" s="8" t="s">
        <v>303</v>
      </c>
      <c r="M907" s="8" t="s">
        <v>304</v>
      </c>
      <c r="N907" s="8" t="s">
        <v>20</v>
      </c>
      <c r="O907" s="8" t="s">
        <v>214</v>
      </c>
      <c r="P907" s="8" t="s">
        <v>216</v>
      </c>
      <c r="Q907" s="8" t="s">
        <v>217</v>
      </c>
      <c r="R907" s="8" t="s">
        <v>360</v>
      </c>
      <c r="S907" s="8"/>
      <c r="T907" s="8"/>
      <c r="U907" s="8" t="s">
        <v>262</v>
      </c>
      <c r="V907" s="8"/>
      <c r="W907" s="8"/>
      <c r="X907" s="8"/>
      <c r="Y907" s="8"/>
    </row>
    <row r="908" spans="1:25" hidden="1" x14ac:dyDescent="0.25">
      <c r="A908" s="283" t="s">
        <v>242</v>
      </c>
      <c r="B908" s="260">
        <v>45756</v>
      </c>
      <c r="C908" s="261" t="s">
        <v>553</v>
      </c>
      <c r="D908" s="261"/>
      <c r="E908" s="262">
        <v>0</v>
      </c>
      <c r="F908" s="262">
        <v>4300000</v>
      </c>
      <c r="G908" s="285">
        <f>Tabla3[[#This Row],[INGRESOS]]-Tabla3[[#This Row],[EGRESOS]]</f>
        <v>4300000</v>
      </c>
      <c r="H908" s="137">
        <v>-20955117.68</v>
      </c>
      <c r="I908" s="135">
        <v>1140</v>
      </c>
      <c r="J908" s="136">
        <f>Tabla3[[#This Row],[EGRESOS]]/Tabla3[[#This Row],[TC]]</f>
        <v>0</v>
      </c>
      <c r="K908" s="136">
        <f>Tabla3[[#This Row],[INGRESOS]]/Tabla3[[#This Row],[TC]]</f>
        <v>3771.9298245614036</v>
      </c>
      <c r="L908" s="8" t="s">
        <v>303</v>
      </c>
      <c r="M908" s="8" t="s">
        <v>304</v>
      </c>
      <c r="N908" s="8" t="s">
        <v>20</v>
      </c>
      <c r="O908" s="8" t="s">
        <v>214</v>
      </c>
      <c r="P908" s="8" t="s">
        <v>216</v>
      </c>
      <c r="Q908" s="8" t="s">
        <v>217</v>
      </c>
      <c r="R908" s="8" t="s">
        <v>360</v>
      </c>
      <c r="S908" s="8"/>
      <c r="T908" s="8"/>
      <c r="U908" s="8" t="s">
        <v>262</v>
      </c>
      <c r="V908" s="8"/>
      <c r="W908" s="8"/>
      <c r="X908" s="8"/>
      <c r="Y908" s="8"/>
    </row>
    <row r="909" spans="1:25" hidden="1" x14ac:dyDescent="0.25">
      <c r="A909" s="283" t="s">
        <v>242</v>
      </c>
      <c r="B909" s="260">
        <v>45756</v>
      </c>
      <c r="C909" s="261" t="s">
        <v>507</v>
      </c>
      <c r="D909" s="261"/>
      <c r="E909" s="262">
        <v>3024</v>
      </c>
      <c r="F909" s="262">
        <v>0</v>
      </c>
      <c r="G909" s="285">
        <f>Tabla3[[#This Row],[INGRESOS]]-Tabla3[[#This Row],[EGRESOS]]</f>
        <v>-3024</v>
      </c>
      <c r="H909" s="137">
        <v>-20958141.68</v>
      </c>
      <c r="I909" s="135">
        <v>1140</v>
      </c>
      <c r="J909" s="136">
        <f>Tabla3[[#This Row],[EGRESOS]]/Tabla3[[#This Row],[TC]]</f>
        <v>2.6526315789473682</v>
      </c>
      <c r="K909" s="136">
        <f>Tabla3[[#This Row],[INGRESOS]]/Tabla3[[#This Row],[TC]]</f>
        <v>0</v>
      </c>
      <c r="L909" s="8" t="s">
        <v>303</v>
      </c>
      <c r="M909" s="8" t="s">
        <v>304</v>
      </c>
      <c r="N909" s="8" t="s">
        <v>20</v>
      </c>
      <c r="O909" s="8" t="s">
        <v>184</v>
      </c>
      <c r="P909" s="8" t="s">
        <v>187</v>
      </c>
      <c r="Q909" s="8" t="s">
        <v>188</v>
      </c>
      <c r="R909" s="8" t="s">
        <v>308</v>
      </c>
      <c r="S909" s="8"/>
      <c r="T909" s="8"/>
      <c r="U909" s="8" t="s">
        <v>261</v>
      </c>
      <c r="V909" s="8"/>
      <c r="W909" s="8" t="s">
        <v>306</v>
      </c>
      <c r="X909" s="8" t="s">
        <v>98</v>
      </c>
      <c r="Y909" s="8" t="s">
        <v>23</v>
      </c>
    </row>
    <row r="910" spans="1:25" hidden="1" x14ac:dyDescent="0.25">
      <c r="A910" s="283" t="s">
        <v>242</v>
      </c>
      <c r="B910" s="260">
        <v>45756</v>
      </c>
      <c r="C910" s="261" t="s">
        <v>508</v>
      </c>
      <c r="D910" s="261"/>
      <c r="E910" s="262">
        <v>432</v>
      </c>
      <c r="F910" s="262">
        <v>0</v>
      </c>
      <c r="G910" s="285">
        <f>Tabla3[[#This Row],[INGRESOS]]-Tabla3[[#This Row],[EGRESOS]]</f>
        <v>-432</v>
      </c>
      <c r="H910" s="137">
        <v>-20958573.68</v>
      </c>
      <c r="I910" s="135">
        <v>1140</v>
      </c>
      <c r="J910" s="136">
        <f>Tabla3[[#This Row],[EGRESOS]]/Tabla3[[#This Row],[TC]]</f>
        <v>0.37894736842105264</v>
      </c>
      <c r="K910" s="136">
        <f>Tabla3[[#This Row],[INGRESOS]]/Tabla3[[#This Row],[TC]]</f>
        <v>0</v>
      </c>
      <c r="L910" s="8" t="s">
        <v>303</v>
      </c>
      <c r="M910" s="8" t="s">
        <v>304</v>
      </c>
      <c r="N910" s="8" t="s">
        <v>20</v>
      </c>
      <c r="O910" s="8" t="s">
        <v>184</v>
      </c>
      <c r="P910" s="8" t="s">
        <v>187</v>
      </c>
      <c r="Q910" s="8" t="s">
        <v>188</v>
      </c>
      <c r="R910" s="8" t="s">
        <v>334</v>
      </c>
      <c r="S910" s="8"/>
      <c r="T910" s="8"/>
      <c r="U910" s="8" t="s">
        <v>261</v>
      </c>
      <c r="V910" s="8"/>
      <c r="W910" s="8" t="s">
        <v>306</v>
      </c>
      <c r="X910" s="8" t="s">
        <v>98</v>
      </c>
      <c r="Y910" s="8" t="s">
        <v>23</v>
      </c>
    </row>
    <row r="911" spans="1:25" hidden="1" x14ac:dyDescent="0.25">
      <c r="A911" s="283" t="s">
        <v>242</v>
      </c>
      <c r="B911" s="260">
        <v>45756</v>
      </c>
      <c r="C911" s="261" t="s">
        <v>536</v>
      </c>
      <c r="D911" s="261"/>
      <c r="E911" s="262">
        <v>14400</v>
      </c>
      <c r="F911" s="262">
        <v>0</v>
      </c>
      <c r="G911" s="285">
        <f>Tabla3[[#This Row],[INGRESOS]]-Tabla3[[#This Row],[EGRESOS]]</f>
        <v>-14400</v>
      </c>
      <c r="H911" s="137">
        <v>-20972973.68</v>
      </c>
      <c r="I911" s="135">
        <v>1140</v>
      </c>
      <c r="J911" s="136">
        <f>Tabla3[[#This Row],[EGRESOS]]/Tabla3[[#This Row],[TC]]</f>
        <v>12.631578947368421</v>
      </c>
      <c r="K911" s="136">
        <f>Tabla3[[#This Row],[INGRESOS]]/Tabla3[[#This Row],[TC]]</f>
        <v>0</v>
      </c>
      <c r="L911" s="8" t="s">
        <v>303</v>
      </c>
      <c r="M911" s="8" t="s">
        <v>304</v>
      </c>
      <c r="N911" s="8" t="s">
        <v>20</v>
      </c>
      <c r="O911" s="8" t="s">
        <v>184</v>
      </c>
      <c r="P911" s="8" t="s">
        <v>185</v>
      </c>
      <c r="Q911" s="8" t="s">
        <v>186</v>
      </c>
      <c r="R911" s="8"/>
      <c r="S911" s="8"/>
      <c r="T911" s="8"/>
      <c r="U911" s="8" t="s">
        <v>261</v>
      </c>
      <c r="V911" s="8"/>
      <c r="W911" s="8" t="s">
        <v>306</v>
      </c>
      <c r="X911" s="8" t="s">
        <v>98</v>
      </c>
      <c r="Y911" s="8" t="s">
        <v>23</v>
      </c>
    </row>
    <row r="912" spans="1:25" hidden="1" x14ac:dyDescent="0.25">
      <c r="A912" s="283" t="s">
        <v>242</v>
      </c>
      <c r="B912" s="260">
        <v>45756</v>
      </c>
      <c r="C912" s="261" t="s">
        <v>637</v>
      </c>
      <c r="D912" s="261"/>
      <c r="E912" s="262">
        <v>1607.14</v>
      </c>
      <c r="F912" s="262">
        <v>0</v>
      </c>
      <c r="G912" s="285">
        <f>Tabla3[[#This Row],[INGRESOS]]-Tabla3[[#This Row],[EGRESOS]]</f>
        <v>-1607.14</v>
      </c>
      <c r="H912" s="137">
        <v>-20974580.82</v>
      </c>
      <c r="I912" s="135">
        <v>1140</v>
      </c>
      <c r="J912" s="136">
        <f>Tabla3[[#This Row],[EGRESOS]]/Tabla3[[#This Row],[TC]]</f>
        <v>1.4097719298245615</v>
      </c>
      <c r="K912" s="136">
        <f>Tabla3[[#This Row],[INGRESOS]]/Tabla3[[#This Row],[TC]]</f>
        <v>0</v>
      </c>
      <c r="L912" s="8" t="s">
        <v>303</v>
      </c>
      <c r="M912" s="8" t="s">
        <v>304</v>
      </c>
      <c r="N912" s="8" t="s">
        <v>20</v>
      </c>
      <c r="O912" s="8" t="s">
        <v>184</v>
      </c>
      <c r="P912" s="8" t="s">
        <v>187</v>
      </c>
      <c r="Q912" s="8" t="s">
        <v>188</v>
      </c>
      <c r="R912" s="8" t="s">
        <v>317</v>
      </c>
      <c r="S912" s="8"/>
      <c r="T912" s="8"/>
      <c r="U912" s="8" t="s">
        <v>261</v>
      </c>
      <c r="V912" s="8"/>
      <c r="W912" s="8" t="s">
        <v>306</v>
      </c>
      <c r="X912" s="8" t="s">
        <v>98</v>
      </c>
      <c r="Y912" s="8" t="s">
        <v>23</v>
      </c>
    </row>
    <row r="913" spans="1:25" hidden="1" x14ac:dyDescent="0.25">
      <c r="A913" s="283" t="s">
        <v>242</v>
      </c>
      <c r="B913" s="260">
        <v>45761</v>
      </c>
      <c r="C913" s="261" t="s">
        <v>553</v>
      </c>
      <c r="D913" s="261"/>
      <c r="E913" s="262">
        <v>0</v>
      </c>
      <c r="F913" s="262">
        <v>1200000</v>
      </c>
      <c r="G913" s="285">
        <f>Tabla3[[#This Row],[INGRESOS]]-Tabla3[[#This Row],[EGRESOS]]</f>
        <v>1200000</v>
      </c>
      <c r="H913" s="137">
        <v>-19774580.82</v>
      </c>
      <c r="I913" s="135">
        <v>1170</v>
      </c>
      <c r="J913" s="136">
        <f>Tabla3[[#This Row],[EGRESOS]]/Tabla3[[#This Row],[TC]]</f>
        <v>0</v>
      </c>
      <c r="K913" s="136">
        <f>Tabla3[[#This Row],[INGRESOS]]/Tabla3[[#This Row],[TC]]</f>
        <v>1025.6410256410256</v>
      </c>
      <c r="L913" s="8" t="s">
        <v>303</v>
      </c>
      <c r="M913" s="8" t="s">
        <v>304</v>
      </c>
      <c r="N913" s="8" t="s">
        <v>20</v>
      </c>
      <c r="O913" s="8" t="s">
        <v>214</v>
      </c>
      <c r="P913" s="8" t="s">
        <v>216</v>
      </c>
      <c r="Q913" s="8" t="s">
        <v>217</v>
      </c>
      <c r="R913" s="8" t="s">
        <v>360</v>
      </c>
      <c r="S913" s="8"/>
      <c r="T913" s="8"/>
      <c r="U913" s="8" t="s">
        <v>262</v>
      </c>
      <c r="V913" s="8"/>
      <c r="W913" s="8"/>
      <c r="X913" s="8"/>
      <c r="Y913" s="8"/>
    </row>
    <row r="914" spans="1:25" hidden="1" x14ac:dyDescent="0.25">
      <c r="A914" s="283" t="s">
        <v>242</v>
      </c>
      <c r="B914" s="260">
        <v>45763</v>
      </c>
      <c r="C914" s="261" t="s">
        <v>521</v>
      </c>
      <c r="D914" s="261" t="s">
        <v>667</v>
      </c>
      <c r="E914" s="262">
        <v>4254250</v>
      </c>
      <c r="F914" s="262">
        <v>0</v>
      </c>
      <c r="G914" s="285">
        <f>Tabla3[[#This Row],[INGRESOS]]-Tabla3[[#This Row],[EGRESOS]]</f>
        <v>-4254250</v>
      </c>
      <c r="H914" s="137">
        <v>-24028830.82</v>
      </c>
      <c r="I914" s="135">
        <v>1170</v>
      </c>
      <c r="J914" s="136">
        <f>Tabla3[[#This Row],[EGRESOS]]/Tabla3[[#This Row],[TC]]</f>
        <v>3636.1111111111113</v>
      </c>
      <c r="K914" s="136">
        <f>Tabla3[[#This Row],[INGRESOS]]/Tabla3[[#This Row],[TC]]</f>
        <v>0</v>
      </c>
      <c r="L914" s="8" t="s">
        <v>303</v>
      </c>
      <c r="M914" s="8" t="s">
        <v>304</v>
      </c>
      <c r="N914" s="8" t="s">
        <v>20</v>
      </c>
      <c r="O914" s="8" t="s">
        <v>197</v>
      </c>
      <c r="P914" s="8" t="s">
        <v>198</v>
      </c>
      <c r="Q914" s="8" t="s">
        <v>200</v>
      </c>
      <c r="R914" s="8" t="s">
        <v>202</v>
      </c>
      <c r="S914" s="8" t="s">
        <v>660</v>
      </c>
      <c r="T914" s="8"/>
      <c r="U914" s="8" t="s">
        <v>260</v>
      </c>
      <c r="V914" s="8"/>
      <c r="W914" s="8" t="s">
        <v>306</v>
      </c>
      <c r="X914" s="8" t="s">
        <v>29</v>
      </c>
      <c r="Y914" s="8" t="s">
        <v>23</v>
      </c>
    </row>
    <row r="915" spans="1:25" hidden="1" x14ac:dyDescent="0.25">
      <c r="A915" s="380" t="s">
        <v>242</v>
      </c>
      <c r="B915" s="381">
        <v>45763</v>
      </c>
      <c r="C915" s="382" t="s">
        <v>521</v>
      </c>
      <c r="D915" s="382" t="s">
        <v>668</v>
      </c>
      <c r="E915" s="262">
        <v>1356000</v>
      </c>
      <c r="F915" s="383">
        <v>0</v>
      </c>
      <c r="G915" s="384">
        <f>Tabla3[[#This Row],[INGRESOS]]-Tabla3[[#This Row],[EGRESOS]]</f>
        <v>-1356000</v>
      </c>
      <c r="H915" s="374">
        <v>-25384830.82</v>
      </c>
      <c r="I915" s="383">
        <v>1170</v>
      </c>
      <c r="J915" s="385">
        <f>Tabla3[[#This Row],[EGRESOS]]/Tabla3[[#This Row],[TC]]</f>
        <v>1158.9743589743589</v>
      </c>
      <c r="K915" s="385">
        <f>Tabla3[[#This Row],[INGRESOS]]/Tabla3[[#This Row],[TC]]</f>
        <v>0</v>
      </c>
      <c r="L915" s="382" t="s">
        <v>303</v>
      </c>
      <c r="M915" s="382" t="s">
        <v>304</v>
      </c>
      <c r="N915" s="382" t="s">
        <v>20</v>
      </c>
      <c r="O915" s="382" t="s">
        <v>197</v>
      </c>
      <c r="P915" s="382" t="s">
        <v>198</v>
      </c>
      <c r="Q915" s="382" t="s">
        <v>201</v>
      </c>
      <c r="R915" s="382" t="s">
        <v>203</v>
      </c>
      <c r="S915" s="382" t="s">
        <v>526</v>
      </c>
      <c r="T915" s="382" t="s">
        <v>639</v>
      </c>
      <c r="U915" s="382" t="s">
        <v>258</v>
      </c>
      <c r="V915" s="382"/>
      <c r="W915" s="382" t="s">
        <v>306</v>
      </c>
      <c r="X915" s="382" t="s">
        <v>29</v>
      </c>
      <c r="Y915" s="382" t="s">
        <v>23</v>
      </c>
    </row>
    <row r="916" spans="1:25" hidden="1" x14ac:dyDescent="0.25">
      <c r="A916" s="283" t="s">
        <v>242</v>
      </c>
      <c r="B916" s="260">
        <v>45763</v>
      </c>
      <c r="C916" s="261" t="s">
        <v>535</v>
      </c>
      <c r="D916" s="261"/>
      <c r="E916" s="262">
        <v>0</v>
      </c>
      <c r="F916" s="262">
        <v>1200000</v>
      </c>
      <c r="G916" s="285">
        <f>Tabla3[[#This Row],[INGRESOS]]-Tabla3[[#This Row],[EGRESOS]]</f>
        <v>1200000</v>
      </c>
      <c r="H916" s="137">
        <v>-24184830.82</v>
      </c>
      <c r="I916" s="135">
        <v>1170</v>
      </c>
      <c r="J916" s="136">
        <f>Tabla3[[#This Row],[EGRESOS]]/Tabla3[[#This Row],[TC]]</f>
        <v>0</v>
      </c>
      <c r="K916" s="136">
        <f>Tabla3[[#This Row],[INGRESOS]]/Tabla3[[#This Row],[TC]]</f>
        <v>1025.6410256410256</v>
      </c>
      <c r="L916" s="8" t="s">
        <v>303</v>
      </c>
      <c r="M916" s="8" t="s">
        <v>304</v>
      </c>
      <c r="N916" s="8" t="s">
        <v>20</v>
      </c>
      <c r="O916" s="8" t="s">
        <v>214</v>
      </c>
      <c r="P916" s="8" t="s">
        <v>216</v>
      </c>
      <c r="Q916" s="8" t="s">
        <v>217</v>
      </c>
      <c r="R916" s="8" t="s">
        <v>664</v>
      </c>
      <c r="S916" s="8"/>
      <c r="T916" s="8"/>
      <c r="U916" s="8" t="s">
        <v>262</v>
      </c>
      <c r="V916" s="8"/>
      <c r="W916" s="8" t="s">
        <v>306</v>
      </c>
      <c r="X916" s="8"/>
      <c r="Y916" s="8"/>
    </row>
    <row r="917" spans="1:25" hidden="1" x14ac:dyDescent="0.25">
      <c r="A917" s="283" t="s">
        <v>242</v>
      </c>
      <c r="B917" s="260">
        <v>45763</v>
      </c>
      <c r="C917" s="261" t="s">
        <v>535</v>
      </c>
      <c r="D917" s="261"/>
      <c r="E917" s="262">
        <v>0</v>
      </c>
      <c r="F917" s="262">
        <v>1000000</v>
      </c>
      <c r="G917" s="285">
        <f>Tabla3[[#This Row],[INGRESOS]]-Tabla3[[#This Row],[EGRESOS]]</f>
        <v>1000000</v>
      </c>
      <c r="H917" s="137">
        <v>-23184830.82</v>
      </c>
      <c r="I917" s="135">
        <v>1170</v>
      </c>
      <c r="J917" s="136">
        <f>Tabla3[[#This Row],[EGRESOS]]/Tabla3[[#This Row],[TC]]</f>
        <v>0</v>
      </c>
      <c r="K917" s="136">
        <f>Tabla3[[#This Row],[INGRESOS]]/Tabla3[[#This Row],[TC]]</f>
        <v>854.70085470085473</v>
      </c>
      <c r="L917" s="8" t="s">
        <v>303</v>
      </c>
      <c r="M917" s="8" t="s">
        <v>304</v>
      </c>
      <c r="N917" s="8" t="s">
        <v>20</v>
      </c>
      <c r="O917" s="8" t="s">
        <v>214</v>
      </c>
      <c r="P917" s="8" t="s">
        <v>216</v>
      </c>
      <c r="Q917" s="8" t="s">
        <v>217</v>
      </c>
      <c r="R917" s="8" t="s">
        <v>664</v>
      </c>
      <c r="S917" s="8"/>
      <c r="T917" s="8"/>
      <c r="U917" s="8" t="s">
        <v>262</v>
      </c>
      <c r="V917" s="8"/>
      <c r="W917" s="8" t="s">
        <v>306</v>
      </c>
      <c r="X917" s="8"/>
      <c r="Y917" s="8"/>
    </row>
    <row r="918" spans="1:25" hidden="1" x14ac:dyDescent="0.25">
      <c r="A918" s="283" t="s">
        <v>242</v>
      </c>
      <c r="B918" s="260">
        <v>45763</v>
      </c>
      <c r="C918" s="261" t="s">
        <v>553</v>
      </c>
      <c r="D918" s="261"/>
      <c r="E918" s="262">
        <v>0</v>
      </c>
      <c r="F918" s="262">
        <v>2100000</v>
      </c>
      <c r="G918" s="285">
        <f>Tabla3[[#This Row],[INGRESOS]]-Tabla3[[#This Row],[EGRESOS]]</f>
        <v>2100000</v>
      </c>
      <c r="H918" s="137">
        <v>-21084830.82</v>
      </c>
      <c r="I918" s="135">
        <v>1170</v>
      </c>
      <c r="J918" s="136">
        <f>Tabla3[[#This Row],[EGRESOS]]/Tabla3[[#This Row],[TC]]</f>
        <v>0</v>
      </c>
      <c r="K918" s="136">
        <f>Tabla3[[#This Row],[INGRESOS]]/Tabla3[[#This Row],[TC]]</f>
        <v>1794.8717948717949</v>
      </c>
      <c r="L918" s="8" t="s">
        <v>303</v>
      </c>
      <c r="M918" s="8" t="s">
        <v>304</v>
      </c>
      <c r="N918" s="8" t="s">
        <v>20</v>
      </c>
      <c r="O918" s="8" t="s">
        <v>214</v>
      </c>
      <c r="P918" s="8" t="s">
        <v>216</v>
      </c>
      <c r="Q918" s="8" t="s">
        <v>217</v>
      </c>
      <c r="R918" s="8" t="s">
        <v>360</v>
      </c>
      <c r="S918" s="8"/>
      <c r="T918" s="8"/>
      <c r="U918" s="8" t="s">
        <v>262</v>
      </c>
      <c r="V918" s="8"/>
      <c r="W918" s="8" t="s">
        <v>306</v>
      </c>
      <c r="X918" s="8"/>
      <c r="Y918" s="8"/>
    </row>
    <row r="919" spans="1:25" hidden="1" x14ac:dyDescent="0.25">
      <c r="A919" s="283" t="s">
        <v>242</v>
      </c>
      <c r="B919" s="260">
        <v>45763</v>
      </c>
      <c r="C919" s="261" t="s">
        <v>535</v>
      </c>
      <c r="D919" s="261"/>
      <c r="E919" s="262">
        <v>0</v>
      </c>
      <c r="F919" s="262">
        <v>90000</v>
      </c>
      <c r="G919" s="285">
        <f>Tabla3[[#This Row],[INGRESOS]]-Tabla3[[#This Row],[EGRESOS]]</f>
        <v>90000</v>
      </c>
      <c r="H919" s="137">
        <v>-20994830.82</v>
      </c>
      <c r="I919" s="135">
        <v>1170</v>
      </c>
      <c r="J919" s="136">
        <f>Tabla3[[#This Row],[EGRESOS]]/Tabla3[[#This Row],[TC]]</f>
        <v>0</v>
      </c>
      <c r="K919" s="136">
        <f>Tabla3[[#This Row],[INGRESOS]]/Tabla3[[#This Row],[TC]]</f>
        <v>76.92307692307692</v>
      </c>
      <c r="L919" s="8" t="s">
        <v>303</v>
      </c>
      <c r="M919" s="8" t="s">
        <v>304</v>
      </c>
      <c r="N919" s="8" t="s">
        <v>20</v>
      </c>
      <c r="O919" s="8" t="s">
        <v>214</v>
      </c>
      <c r="P919" s="8" t="s">
        <v>216</v>
      </c>
      <c r="Q919" s="8" t="s">
        <v>217</v>
      </c>
      <c r="R919" s="8" t="s">
        <v>664</v>
      </c>
      <c r="S919" s="8"/>
      <c r="T919" s="8"/>
      <c r="U919" s="8" t="s">
        <v>262</v>
      </c>
      <c r="V919" s="8"/>
      <c r="W919" s="8" t="s">
        <v>306</v>
      </c>
      <c r="X919" s="8"/>
      <c r="Y919" s="8"/>
    </row>
    <row r="920" spans="1:25" hidden="1" x14ac:dyDescent="0.25">
      <c r="A920" s="283" t="s">
        <v>242</v>
      </c>
      <c r="B920" s="260">
        <v>45763</v>
      </c>
      <c r="C920" s="261" t="s">
        <v>507</v>
      </c>
      <c r="D920" s="261"/>
      <c r="E920" s="262">
        <v>3024</v>
      </c>
      <c r="F920" s="262">
        <v>0</v>
      </c>
      <c r="G920" s="285">
        <f>Tabla3[[#This Row],[INGRESOS]]-Tabla3[[#This Row],[EGRESOS]]</f>
        <v>-3024</v>
      </c>
      <c r="H920" s="137">
        <v>-20997854.82</v>
      </c>
      <c r="I920" s="135">
        <v>1170</v>
      </c>
      <c r="J920" s="136">
        <f>Tabla3[[#This Row],[EGRESOS]]/Tabla3[[#This Row],[TC]]</f>
        <v>2.5846153846153848</v>
      </c>
      <c r="K920" s="136">
        <f>Tabla3[[#This Row],[INGRESOS]]/Tabla3[[#This Row],[TC]]</f>
        <v>0</v>
      </c>
      <c r="L920" s="8" t="s">
        <v>303</v>
      </c>
      <c r="M920" s="8" t="s">
        <v>304</v>
      </c>
      <c r="N920" s="8" t="s">
        <v>20</v>
      </c>
      <c r="O920" s="8" t="s">
        <v>184</v>
      </c>
      <c r="P920" s="8" t="s">
        <v>187</v>
      </c>
      <c r="Q920" s="8" t="s">
        <v>188</v>
      </c>
      <c r="R920" s="8" t="s">
        <v>308</v>
      </c>
      <c r="S920" s="8"/>
      <c r="T920" s="8"/>
      <c r="U920" s="8" t="s">
        <v>261</v>
      </c>
      <c r="V920" s="8"/>
      <c r="W920" s="8" t="s">
        <v>306</v>
      </c>
      <c r="X920" s="8" t="s">
        <v>98</v>
      </c>
      <c r="Y920" s="8" t="s">
        <v>23</v>
      </c>
    </row>
    <row r="921" spans="1:25" hidden="1" x14ac:dyDescent="0.25">
      <c r="A921" s="283" t="s">
        <v>242</v>
      </c>
      <c r="B921" s="260">
        <v>45763</v>
      </c>
      <c r="C921" s="261" t="s">
        <v>508</v>
      </c>
      <c r="D921" s="261"/>
      <c r="E921" s="262">
        <v>432</v>
      </c>
      <c r="F921" s="262">
        <v>0</v>
      </c>
      <c r="G921" s="285">
        <f>Tabla3[[#This Row],[INGRESOS]]-Tabla3[[#This Row],[EGRESOS]]</f>
        <v>-432</v>
      </c>
      <c r="H921" s="137">
        <v>-20998286.82</v>
      </c>
      <c r="I921" s="135">
        <v>1170</v>
      </c>
      <c r="J921" s="136">
        <f>Tabla3[[#This Row],[EGRESOS]]/Tabla3[[#This Row],[TC]]</f>
        <v>0.36923076923076925</v>
      </c>
      <c r="K921" s="136">
        <f>Tabla3[[#This Row],[INGRESOS]]/Tabla3[[#This Row],[TC]]</f>
        <v>0</v>
      </c>
      <c r="L921" s="8" t="s">
        <v>303</v>
      </c>
      <c r="M921" s="8" t="s">
        <v>304</v>
      </c>
      <c r="N921" s="8" t="s">
        <v>20</v>
      </c>
      <c r="O921" s="8" t="s">
        <v>184</v>
      </c>
      <c r="P921" s="8" t="s">
        <v>187</v>
      </c>
      <c r="Q921" s="8" t="s">
        <v>188</v>
      </c>
      <c r="R921" s="8" t="s">
        <v>669</v>
      </c>
      <c r="S921" s="8"/>
      <c r="T921" s="8"/>
      <c r="U921" s="8" t="s">
        <v>261</v>
      </c>
      <c r="V921" s="8"/>
      <c r="W921" s="8" t="s">
        <v>306</v>
      </c>
      <c r="X921" s="8" t="s">
        <v>98</v>
      </c>
      <c r="Y921" s="8" t="s">
        <v>23</v>
      </c>
    </row>
    <row r="922" spans="1:25" hidden="1" x14ac:dyDescent="0.25">
      <c r="A922" s="283" t="s">
        <v>242</v>
      </c>
      <c r="B922" s="260">
        <v>45763</v>
      </c>
      <c r="C922" s="261" t="s">
        <v>536</v>
      </c>
      <c r="D922" s="261"/>
      <c r="E922" s="262">
        <v>14400</v>
      </c>
      <c r="F922" s="262">
        <v>0</v>
      </c>
      <c r="G922" s="285">
        <f>Tabla3[[#This Row],[INGRESOS]]-Tabla3[[#This Row],[EGRESOS]]</f>
        <v>-14400</v>
      </c>
      <c r="H922" s="137">
        <v>-21012686.82</v>
      </c>
      <c r="I922" s="135">
        <v>1170</v>
      </c>
      <c r="J922" s="136">
        <f>Tabla3[[#This Row],[EGRESOS]]/Tabla3[[#This Row],[TC]]</f>
        <v>12.307692307692308</v>
      </c>
      <c r="K922" s="136">
        <f>Tabla3[[#This Row],[INGRESOS]]/Tabla3[[#This Row],[TC]]</f>
        <v>0</v>
      </c>
      <c r="L922" s="8" t="s">
        <v>303</v>
      </c>
      <c r="M922" s="8" t="s">
        <v>304</v>
      </c>
      <c r="N922" s="8" t="s">
        <v>20</v>
      </c>
      <c r="O922" s="8" t="s">
        <v>184</v>
      </c>
      <c r="P922" s="8" t="s">
        <v>185</v>
      </c>
      <c r="Q922" s="8" t="s">
        <v>186</v>
      </c>
      <c r="R922" s="8"/>
      <c r="S922" s="8"/>
      <c r="T922" s="8"/>
      <c r="U922" s="8" t="s">
        <v>261</v>
      </c>
      <c r="V922" s="8"/>
      <c r="W922" s="8" t="s">
        <v>306</v>
      </c>
      <c r="X922" s="8" t="s">
        <v>98</v>
      </c>
      <c r="Y922" s="8" t="s">
        <v>23</v>
      </c>
    </row>
    <row r="923" spans="1:25" hidden="1" x14ac:dyDescent="0.25">
      <c r="A923" s="283" t="s">
        <v>242</v>
      </c>
      <c r="B923" s="260">
        <v>45763</v>
      </c>
      <c r="C923" s="261" t="s">
        <v>637</v>
      </c>
      <c r="D923" s="261"/>
      <c r="E923" s="262">
        <v>33768.639999999999</v>
      </c>
      <c r="F923" s="262">
        <v>0</v>
      </c>
      <c r="G923" s="285">
        <f>Tabla3[[#This Row],[INGRESOS]]-Tabla3[[#This Row],[EGRESOS]]</f>
        <v>-33768.639999999999</v>
      </c>
      <c r="H923" s="137">
        <v>-21046455.460000001</v>
      </c>
      <c r="I923" s="135">
        <v>1170</v>
      </c>
      <c r="J923" s="136">
        <f>Tabla3[[#This Row],[EGRESOS]]/Tabla3[[#This Row],[TC]]</f>
        <v>28.862085470085468</v>
      </c>
      <c r="K923" s="136">
        <f>Tabla3[[#This Row],[INGRESOS]]/Tabla3[[#This Row],[TC]]</f>
        <v>0</v>
      </c>
      <c r="L923" s="8" t="s">
        <v>303</v>
      </c>
      <c r="M923" s="8" t="s">
        <v>304</v>
      </c>
      <c r="N923" s="8" t="s">
        <v>20</v>
      </c>
      <c r="O923" s="8" t="s">
        <v>184</v>
      </c>
      <c r="P923" s="8" t="s">
        <v>187</v>
      </c>
      <c r="Q923" s="8" t="s">
        <v>188</v>
      </c>
      <c r="R923" s="8" t="s">
        <v>317</v>
      </c>
      <c r="S923" s="8"/>
      <c r="T923" s="8"/>
      <c r="U923" s="8" t="s">
        <v>261</v>
      </c>
      <c r="V923" s="8"/>
      <c r="W923" s="8" t="s">
        <v>306</v>
      </c>
      <c r="X923" s="8" t="s">
        <v>98</v>
      </c>
      <c r="Y923" s="8" t="s">
        <v>23</v>
      </c>
    </row>
    <row r="924" spans="1:25" x14ac:dyDescent="0.25">
      <c r="A924" s="283" t="s">
        <v>242</v>
      </c>
      <c r="B924" s="260">
        <v>45768</v>
      </c>
      <c r="C924" s="261" t="s">
        <v>521</v>
      </c>
      <c r="D924" s="261" t="s">
        <v>670</v>
      </c>
      <c r="E924" s="262">
        <v>591074.96</v>
      </c>
      <c r="F924" s="262">
        <v>0</v>
      </c>
      <c r="G924" s="285">
        <f>Tabla3[[#This Row],[INGRESOS]]-Tabla3[[#This Row],[EGRESOS]]</f>
        <v>-591074.96</v>
      </c>
      <c r="H924" s="137">
        <v>-21637530.420000002</v>
      </c>
      <c r="I924" s="135">
        <v>1170</v>
      </c>
      <c r="J924" s="136">
        <f>Tabla3[[#This Row],[EGRESOS]]/Tabla3[[#This Row],[TC]]</f>
        <v>505.19227350427349</v>
      </c>
      <c r="K924" s="136">
        <f>Tabla3[[#This Row],[INGRESOS]]/Tabla3[[#This Row],[TC]]</f>
        <v>0</v>
      </c>
      <c r="L924" s="8" t="s">
        <v>303</v>
      </c>
      <c r="M924" s="8" t="s">
        <v>304</v>
      </c>
      <c r="N924" s="8" t="s">
        <v>20</v>
      </c>
      <c r="O924" s="8" t="s">
        <v>742</v>
      </c>
      <c r="P924" s="8" t="s">
        <v>220</v>
      </c>
      <c r="Q924" s="8" t="s">
        <v>231</v>
      </c>
      <c r="R924" s="8" t="s">
        <v>142</v>
      </c>
      <c r="S924" s="8" t="s">
        <v>588</v>
      </c>
      <c r="T924" s="8" t="s">
        <v>671</v>
      </c>
      <c r="U924" s="8" t="s">
        <v>258</v>
      </c>
      <c r="V924" s="8"/>
      <c r="W924" s="8" t="s">
        <v>306</v>
      </c>
      <c r="X924" s="8" t="s">
        <v>29</v>
      </c>
      <c r="Y924" s="8" t="s">
        <v>23</v>
      </c>
    </row>
    <row r="925" spans="1:25" hidden="1" x14ac:dyDescent="0.25">
      <c r="A925" s="283" t="s">
        <v>242</v>
      </c>
      <c r="B925" s="260">
        <v>45768</v>
      </c>
      <c r="C925" s="261" t="s">
        <v>535</v>
      </c>
      <c r="D925" s="261"/>
      <c r="E925" s="262">
        <v>0</v>
      </c>
      <c r="F925" s="262">
        <v>650000</v>
      </c>
      <c r="G925" s="285">
        <f>Tabla3[[#This Row],[INGRESOS]]-Tabla3[[#This Row],[EGRESOS]]</f>
        <v>650000</v>
      </c>
      <c r="H925" s="137">
        <v>-20987530.420000002</v>
      </c>
      <c r="I925" s="135">
        <v>1170</v>
      </c>
      <c r="J925" s="136">
        <f>Tabla3[[#This Row],[EGRESOS]]/Tabla3[[#This Row],[TC]]</f>
        <v>0</v>
      </c>
      <c r="K925" s="136">
        <f>Tabla3[[#This Row],[INGRESOS]]/Tabla3[[#This Row],[TC]]</f>
        <v>555.55555555555554</v>
      </c>
      <c r="L925" s="8" t="s">
        <v>303</v>
      </c>
      <c r="M925" s="8" t="s">
        <v>304</v>
      </c>
      <c r="N925" s="8" t="s">
        <v>20</v>
      </c>
      <c r="O925" s="8" t="s">
        <v>214</v>
      </c>
      <c r="P925" s="8" t="s">
        <v>216</v>
      </c>
      <c r="Q925" s="8" t="s">
        <v>217</v>
      </c>
      <c r="R925" s="8" t="s">
        <v>664</v>
      </c>
      <c r="S925" s="8"/>
      <c r="T925" s="8"/>
      <c r="U925" s="8" t="s">
        <v>262</v>
      </c>
      <c r="V925" s="8"/>
      <c r="W925" s="8" t="s">
        <v>306</v>
      </c>
      <c r="X925" s="8"/>
      <c r="Y925" s="8"/>
    </row>
    <row r="926" spans="1:25" hidden="1" x14ac:dyDescent="0.25">
      <c r="A926" s="283" t="s">
        <v>242</v>
      </c>
      <c r="B926" s="260">
        <v>45768</v>
      </c>
      <c r="C926" s="261" t="s">
        <v>566</v>
      </c>
      <c r="D926" s="261"/>
      <c r="E926" s="262">
        <v>8067</v>
      </c>
      <c r="F926" s="262">
        <v>0</v>
      </c>
      <c r="G926" s="285">
        <f>Tabla3[[#This Row],[INGRESOS]]-Tabla3[[#This Row],[EGRESOS]]</f>
        <v>-8067</v>
      </c>
      <c r="H926" s="137">
        <v>-20995597.420000002</v>
      </c>
      <c r="I926" s="135">
        <v>1170</v>
      </c>
      <c r="J926" s="136">
        <f>Tabla3[[#This Row],[EGRESOS]]/Tabla3[[#This Row],[TC]]</f>
        <v>6.8948717948717952</v>
      </c>
      <c r="K926" s="136">
        <f>Tabla3[[#This Row],[INGRESOS]]/Tabla3[[#This Row],[TC]]</f>
        <v>0</v>
      </c>
      <c r="L926" s="8" t="s">
        <v>303</v>
      </c>
      <c r="M926" s="8" t="s">
        <v>304</v>
      </c>
      <c r="N926" s="8" t="s">
        <v>20</v>
      </c>
      <c r="O926" s="8" t="s">
        <v>184</v>
      </c>
      <c r="P926" s="8" t="s">
        <v>185</v>
      </c>
      <c r="Q926" s="8" t="s">
        <v>186</v>
      </c>
      <c r="R926" s="8"/>
      <c r="S926" s="8"/>
      <c r="T926" s="8"/>
      <c r="U926" s="8" t="s">
        <v>261</v>
      </c>
      <c r="V926" s="8"/>
      <c r="W926" s="8" t="s">
        <v>306</v>
      </c>
      <c r="X926" s="8" t="s">
        <v>98</v>
      </c>
      <c r="Y926" s="8" t="s">
        <v>23</v>
      </c>
    </row>
    <row r="927" spans="1:25" hidden="1" x14ac:dyDescent="0.25">
      <c r="A927" s="283" t="s">
        <v>242</v>
      </c>
      <c r="B927" s="260">
        <v>45768</v>
      </c>
      <c r="C927" s="261" t="s">
        <v>507</v>
      </c>
      <c r="D927" s="261"/>
      <c r="E927" s="262">
        <v>3024</v>
      </c>
      <c r="F927" s="262">
        <v>0</v>
      </c>
      <c r="G927" s="285">
        <f>Tabla3[[#This Row],[INGRESOS]]-Tabla3[[#This Row],[EGRESOS]]</f>
        <v>-3024</v>
      </c>
      <c r="H927" s="137">
        <v>-20998621.420000002</v>
      </c>
      <c r="I927" s="135">
        <v>1170</v>
      </c>
      <c r="J927" s="136">
        <f>Tabla3[[#This Row],[EGRESOS]]/Tabla3[[#This Row],[TC]]</f>
        <v>2.5846153846153848</v>
      </c>
      <c r="K927" s="136">
        <f>Tabla3[[#This Row],[INGRESOS]]/Tabla3[[#This Row],[TC]]</f>
        <v>0</v>
      </c>
      <c r="L927" s="8" t="s">
        <v>303</v>
      </c>
      <c r="M927" s="8" t="s">
        <v>304</v>
      </c>
      <c r="N927" s="8" t="s">
        <v>20</v>
      </c>
      <c r="O927" s="8" t="s">
        <v>184</v>
      </c>
      <c r="P927" s="8" t="s">
        <v>187</v>
      </c>
      <c r="Q927" s="8" t="s">
        <v>188</v>
      </c>
      <c r="R927" s="8" t="s">
        <v>308</v>
      </c>
      <c r="S927" s="8"/>
      <c r="T927" s="8"/>
      <c r="U927" s="8" t="s">
        <v>261</v>
      </c>
      <c r="V927" s="8"/>
      <c r="W927" s="8" t="s">
        <v>306</v>
      </c>
      <c r="X927" s="8" t="s">
        <v>98</v>
      </c>
      <c r="Y927" s="8" t="s">
        <v>23</v>
      </c>
    </row>
    <row r="928" spans="1:25" hidden="1" x14ac:dyDescent="0.25">
      <c r="A928" s="283" t="s">
        <v>242</v>
      </c>
      <c r="B928" s="260">
        <v>45768</v>
      </c>
      <c r="C928" s="261" t="s">
        <v>508</v>
      </c>
      <c r="D928" s="261"/>
      <c r="E928" s="262">
        <v>432</v>
      </c>
      <c r="F928" s="262">
        <v>0</v>
      </c>
      <c r="G928" s="285">
        <f>Tabla3[[#This Row],[INGRESOS]]-Tabla3[[#This Row],[EGRESOS]]</f>
        <v>-432</v>
      </c>
      <c r="H928" s="137">
        <v>-20999053.420000002</v>
      </c>
      <c r="I928" s="135">
        <v>1170</v>
      </c>
      <c r="J928" s="136">
        <f>Tabla3[[#This Row],[EGRESOS]]/Tabla3[[#This Row],[TC]]</f>
        <v>0.36923076923076925</v>
      </c>
      <c r="K928" s="136">
        <f>Tabla3[[#This Row],[INGRESOS]]/Tabla3[[#This Row],[TC]]</f>
        <v>0</v>
      </c>
      <c r="L928" s="8" t="s">
        <v>303</v>
      </c>
      <c r="M928" s="8" t="s">
        <v>304</v>
      </c>
      <c r="N928" s="8" t="s">
        <v>20</v>
      </c>
      <c r="O928" s="8" t="s">
        <v>184</v>
      </c>
      <c r="P928" s="8" t="s">
        <v>187</v>
      </c>
      <c r="Q928" s="8" t="s">
        <v>188</v>
      </c>
      <c r="R928" s="8" t="s">
        <v>669</v>
      </c>
      <c r="S928" s="8"/>
      <c r="T928" s="8"/>
      <c r="U928" s="8" t="s">
        <v>261</v>
      </c>
      <c r="V928" s="8"/>
      <c r="W928" s="8" t="s">
        <v>306</v>
      </c>
      <c r="X928" s="8" t="s">
        <v>98</v>
      </c>
      <c r="Y928" s="8" t="s">
        <v>23</v>
      </c>
    </row>
    <row r="929" spans="1:25" hidden="1" x14ac:dyDescent="0.25">
      <c r="A929" s="283" t="s">
        <v>242</v>
      </c>
      <c r="B929" s="260">
        <v>45768</v>
      </c>
      <c r="C929" s="261" t="s">
        <v>536</v>
      </c>
      <c r="D929" s="261"/>
      <c r="E929" s="262">
        <v>14400</v>
      </c>
      <c r="F929" s="262">
        <v>0</v>
      </c>
      <c r="G929" s="285">
        <f>Tabla3[[#This Row],[INGRESOS]]-Tabla3[[#This Row],[EGRESOS]]</f>
        <v>-14400</v>
      </c>
      <c r="H929" s="137">
        <v>-21013453.420000002</v>
      </c>
      <c r="I929" s="135">
        <v>1170</v>
      </c>
      <c r="J929" s="136">
        <f>Tabla3[[#This Row],[EGRESOS]]/Tabla3[[#This Row],[TC]]</f>
        <v>12.307692307692308</v>
      </c>
      <c r="K929" s="136">
        <f>Tabla3[[#This Row],[INGRESOS]]/Tabla3[[#This Row],[TC]]</f>
        <v>0</v>
      </c>
      <c r="L929" s="8" t="s">
        <v>303</v>
      </c>
      <c r="M929" s="8" t="s">
        <v>304</v>
      </c>
      <c r="N929" s="8" t="s">
        <v>20</v>
      </c>
      <c r="O929" s="8" t="s">
        <v>184</v>
      </c>
      <c r="P929" s="8" t="s">
        <v>185</v>
      </c>
      <c r="Q929" s="8" t="s">
        <v>186</v>
      </c>
      <c r="R929" s="8"/>
      <c r="S929" s="8"/>
      <c r="T929" s="8"/>
      <c r="U929" s="8" t="s">
        <v>261</v>
      </c>
      <c r="V929" s="8"/>
      <c r="W929" s="8" t="s">
        <v>306</v>
      </c>
      <c r="X929" s="8" t="s">
        <v>98</v>
      </c>
      <c r="Y929" s="8" t="s">
        <v>23</v>
      </c>
    </row>
    <row r="930" spans="1:25" hidden="1" x14ac:dyDescent="0.25">
      <c r="A930" s="283" t="s">
        <v>242</v>
      </c>
      <c r="B930" s="260">
        <v>45768</v>
      </c>
      <c r="C930" s="261" t="s">
        <v>637</v>
      </c>
      <c r="D930" s="261"/>
      <c r="E930" s="262">
        <v>3701.99</v>
      </c>
      <c r="F930" s="262">
        <v>0</v>
      </c>
      <c r="G930" s="285">
        <f>Tabla3[[#This Row],[INGRESOS]]-Tabla3[[#This Row],[EGRESOS]]</f>
        <v>-3701.99</v>
      </c>
      <c r="H930" s="137">
        <v>-21017155.41</v>
      </c>
      <c r="I930" s="135">
        <v>1170</v>
      </c>
      <c r="J930" s="136">
        <f>Tabla3[[#This Row],[EGRESOS]]/Tabla3[[#This Row],[TC]]</f>
        <v>3.1640940170940168</v>
      </c>
      <c r="K930" s="136">
        <f>Tabla3[[#This Row],[INGRESOS]]/Tabla3[[#This Row],[TC]]</f>
        <v>0</v>
      </c>
      <c r="L930" s="8" t="s">
        <v>303</v>
      </c>
      <c r="M930" s="8" t="s">
        <v>304</v>
      </c>
      <c r="N930" s="8" t="s">
        <v>20</v>
      </c>
      <c r="O930" s="8" t="s">
        <v>184</v>
      </c>
      <c r="P930" s="8" t="s">
        <v>187</v>
      </c>
      <c r="Q930" s="8" t="s">
        <v>188</v>
      </c>
      <c r="R930" s="8" t="s">
        <v>317</v>
      </c>
      <c r="S930" s="8"/>
      <c r="T930" s="8"/>
      <c r="U930" s="8" t="s">
        <v>261</v>
      </c>
      <c r="V930" s="8"/>
      <c r="W930" s="8" t="s">
        <v>306</v>
      </c>
      <c r="X930" s="8" t="s">
        <v>98</v>
      </c>
      <c r="Y930" s="8" t="s">
        <v>23</v>
      </c>
    </row>
    <row r="931" spans="1:25" hidden="1" x14ac:dyDescent="0.25">
      <c r="A931" s="283" t="s">
        <v>242</v>
      </c>
      <c r="B931" s="260">
        <v>45775</v>
      </c>
      <c r="C931" s="261" t="s">
        <v>521</v>
      </c>
      <c r="D931" s="261" t="s">
        <v>672</v>
      </c>
      <c r="E931" s="262">
        <v>85050</v>
      </c>
      <c r="F931" s="262">
        <v>0</v>
      </c>
      <c r="G931" s="285">
        <f>Tabla3[[#This Row],[INGRESOS]]-Tabla3[[#This Row],[EGRESOS]]</f>
        <v>-85050</v>
      </c>
      <c r="H931" s="133">
        <v>-21102205.41</v>
      </c>
      <c r="I931" s="135">
        <v>1170</v>
      </c>
      <c r="J931" s="136">
        <f>Tabla3[[#This Row],[EGRESOS]]/Tabla3[[#This Row],[TC]]</f>
        <v>72.692307692307693</v>
      </c>
      <c r="K931" s="136">
        <f>Tabla3[[#This Row],[INGRESOS]]/Tabla3[[#This Row],[TC]]</f>
        <v>0</v>
      </c>
      <c r="L931" s="8" t="s">
        <v>303</v>
      </c>
      <c r="M931" s="8" t="s">
        <v>304</v>
      </c>
      <c r="N931" s="8" t="s">
        <v>20</v>
      </c>
      <c r="O931" s="8" t="s">
        <v>204</v>
      </c>
      <c r="P931" s="8" t="s">
        <v>210</v>
      </c>
      <c r="Q931" s="8" t="s">
        <v>212</v>
      </c>
      <c r="R931" s="8" t="s">
        <v>673</v>
      </c>
      <c r="S931" s="8" t="s">
        <v>445</v>
      </c>
      <c r="T931" s="8"/>
      <c r="U931" s="8" t="s">
        <v>259</v>
      </c>
      <c r="V931" s="8"/>
      <c r="W931" s="8" t="s">
        <v>306</v>
      </c>
      <c r="X931" s="8" t="s">
        <v>29</v>
      </c>
      <c r="Y931" s="8" t="s">
        <v>23</v>
      </c>
    </row>
    <row r="932" spans="1:25" hidden="1" x14ac:dyDescent="0.25">
      <c r="A932" s="283" t="s">
        <v>242</v>
      </c>
      <c r="B932" s="260">
        <v>45775</v>
      </c>
      <c r="C932" s="261" t="s">
        <v>636</v>
      </c>
      <c r="D932" s="261"/>
      <c r="E932" s="262">
        <v>0</v>
      </c>
      <c r="F932" s="262">
        <v>110000</v>
      </c>
      <c r="G932" s="285">
        <f>Tabla3[[#This Row],[INGRESOS]]-Tabla3[[#This Row],[EGRESOS]]</f>
        <v>110000</v>
      </c>
      <c r="H932" s="137">
        <v>-20992205.41</v>
      </c>
      <c r="I932" s="135">
        <v>1170</v>
      </c>
      <c r="J932" s="136">
        <f>Tabla3[[#This Row],[EGRESOS]]/Tabla3[[#This Row],[TC]]</f>
        <v>0</v>
      </c>
      <c r="K932" s="136">
        <f>Tabla3[[#This Row],[INGRESOS]]/Tabla3[[#This Row],[TC]]</f>
        <v>94.017094017094024</v>
      </c>
      <c r="L932" s="8" t="s">
        <v>303</v>
      </c>
      <c r="M932" s="8" t="s">
        <v>304</v>
      </c>
      <c r="N932" s="8" t="s">
        <v>20</v>
      </c>
      <c r="O932" s="8" t="s">
        <v>184</v>
      </c>
      <c r="P932" s="8" t="s">
        <v>194</v>
      </c>
      <c r="Q932" s="8" t="s">
        <v>236</v>
      </c>
      <c r="R932" s="8"/>
      <c r="S932" s="8" t="s">
        <v>311</v>
      </c>
      <c r="T932" s="8"/>
      <c r="U932" s="8" t="s">
        <v>272</v>
      </c>
      <c r="V932" s="8" t="s">
        <v>311</v>
      </c>
      <c r="W932" s="8" t="s">
        <v>306</v>
      </c>
      <c r="X932" s="8" t="s">
        <v>23</v>
      </c>
      <c r="Y932" s="8" t="s">
        <v>97</v>
      </c>
    </row>
    <row r="933" spans="1:25" hidden="1" x14ac:dyDescent="0.25">
      <c r="A933" s="283" t="s">
        <v>242</v>
      </c>
      <c r="B933" s="260">
        <v>45775</v>
      </c>
      <c r="C933" s="261" t="s">
        <v>507</v>
      </c>
      <c r="D933" s="261"/>
      <c r="E933" s="262">
        <v>1394.4</v>
      </c>
      <c r="F933" s="262">
        <v>0</v>
      </c>
      <c r="G933" s="285">
        <f>Tabla3[[#This Row],[INGRESOS]]-Tabla3[[#This Row],[EGRESOS]]</f>
        <v>-1394.4</v>
      </c>
      <c r="H933" s="137">
        <v>-20993599.809999999</v>
      </c>
      <c r="I933" s="135">
        <v>1170</v>
      </c>
      <c r="J933" s="136">
        <f>Tabla3[[#This Row],[EGRESOS]]/Tabla3[[#This Row],[TC]]</f>
        <v>1.1917948717948719</v>
      </c>
      <c r="K933" s="136">
        <f>Tabla3[[#This Row],[INGRESOS]]/Tabla3[[#This Row],[TC]]</f>
        <v>0</v>
      </c>
      <c r="L933" s="8" t="s">
        <v>303</v>
      </c>
      <c r="M933" s="8" t="s">
        <v>304</v>
      </c>
      <c r="N933" s="8" t="s">
        <v>20</v>
      </c>
      <c r="O933" s="8" t="s">
        <v>184</v>
      </c>
      <c r="P933" s="8" t="s">
        <v>187</v>
      </c>
      <c r="Q933" s="8" t="s">
        <v>188</v>
      </c>
      <c r="R933" s="8" t="s">
        <v>308</v>
      </c>
      <c r="S933" s="8"/>
      <c r="T933" s="8"/>
      <c r="U933" s="8" t="s">
        <v>261</v>
      </c>
      <c r="V933" s="8"/>
      <c r="W933" s="8" t="s">
        <v>306</v>
      </c>
      <c r="X933" s="8" t="s">
        <v>98</v>
      </c>
      <c r="Y933" s="8" t="s">
        <v>23</v>
      </c>
    </row>
    <row r="934" spans="1:25" hidden="1" x14ac:dyDescent="0.25">
      <c r="A934" s="283" t="s">
        <v>242</v>
      </c>
      <c r="B934" s="260">
        <v>45775</v>
      </c>
      <c r="C934" s="261" t="s">
        <v>508</v>
      </c>
      <c r="D934" s="261"/>
      <c r="E934" s="262">
        <v>199.2</v>
      </c>
      <c r="F934" s="262">
        <v>0</v>
      </c>
      <c r="G934" s="285">
        <f>Tabla3[[#This Row],[INGRESOS]]-Tabla3[[#This Row],[EGRESOS]]</f>
        <v>-199.2</v>
      </c>
      <c r="H934" s="137">
        <v>-20993799.010000002</v>
      </c>
      <c r="I934" s="135">
        <v>1170</v>
      </c>
      <c r="J934" s="136">
        <f>Tabla3[[#This Row],[EGRESOS]]/Tabla3[[#This Row],[TC]]</f>
        <v>0.17025641025641025</v>
      </c>
      <c r="K934" s="136">
        <f>Tabla3[[#This Row],[INGRESOS]]/Tabla3[[#This Row],[TC]]</f>
        <v>0</v>
      </c>
      <c r="L934" s="8" t="s">
        <v>303</v>
      </c>
      <c r="M934" s="8" t="s">
        <v>304</v>
      </c>
      <c r="N934" s="8" t="s">
        <v>20</v>
      </c>
      <c r="O934" s="8" t="s">
        <v>184</v>
      </c>
      <c r="P934" s="8" t="s">
        <v>187</v>
      </c>
      <c r="Q934" s="8" t="s">
        <v>188</v>
      </c>
      <c r="R934" s="8" t="s">
        <v>334</v>
      </c>
      <c r="S934" s="8"/>
      <c r="T934" s="8"/>
      <c r="U934" s="8" t="s">
        <v>261</v>
      </c>
      <c r="V934" s="8"/>
      <c r="W934" s="8" t="s">
        <v>306</v>
      </c>
      <c r="X934" s="8" t="s">
        <v>98</v>
      </c>
      <c r="Y934" s="8" t="s">
        <v>23</v>
      </c>
    </row>
    <row r="935" spans="1:25" hidden="1" x14ac:dyDescent="0.25">
      <c r="A935" s="283" t="s">
        <v>242</v>
      </c>
      <c r="B935" s="260">
        <v>45775</v>
      </c>
      <c r="C935" s="261" t="s">
        <v>580</v>
      </c>
      <c r="D935" s="261"/>
      <c r="E935" s="262">
        <v>6640</v>
      </c>
      <c r="F935" s="262">
        <v>0</v>
      </c>
      <c r="G935" s="285">
        <f>Tabla3[[#This Row],[INGRESOS]]-Tabla3[[#This Row],[EGRESOS]]</f>
        <v>-6640</v>
      </c>
      <c r="H935" s="137">
        <v>-21000439.010000002</v>
      </c>
      <c r="I935" s="135">
        <v>1170</v>
      </c>
      <c r="J935" s="136">
        <f>Tabla3[[#This Row],[EGRESOS]]/Tabla3[[#This Row],[TC]]</f>
        <v>5.6752136752136755</v>
      </c>
      <c r="K935" s="136">
        <f>Tabla3[[#This Row],[INGRESOS]]/Tabla3[[#This Row],[TC]]</f>
        <v>0</v>
      </c>
      <c r="L935" s="8" t="s">
        <v>303</v>
      </c>
      <c r="M935" s="8" t="s">
        <v>304</v>
      </c>
      <c r="N935" s="8" t="s">
        <v>20</v>
      </c>
      <c r="O935" s="8" t="s">
        <v>184</v>
      </c>
      <c r="P935" s="8" t="s">
        <v>185</v>
      </c>
      <c r="Q935" s="8" t="s">
        <v>186</v>
      </c>
      <c r="R935" s="8"/>
      <c r="S935" s="8"/>
      <c r="T935" s="8"/>
      <c r="U935" s="8" t="s">
        <v>261</v>
      </c>
      <c r="V935" s="8"/>
      <c r="W935" s="8" t="s">
        <v>306</v>
      </c>
      <c r="X935" s="8" t="s">
        <v>98</v>
      </c>
      <c r="Y935" s="8" t="s">
        <v>23</v>
      </c>
    </row>
    <row r="936" spans="1:25" hidden="1" x14ac:dyDescent="0.25">
      <c r="A936" s="283" t="s">
        <v>242</v>
      </c>
      <c r="B936" s="260">
        <v>45775</v>
      </c>
      <c r="C936" s="261" t="s">
        <v>507</v>
      </c>
      <c r="D936" s="261"/>
      <c r="E936" s="262">
        <v>3024</v>
      </c>
      <c r="F936" s="262">
        <v>0</v>
      </c>
      <c r="G936" s="285">
        <f>Tabla3[[#This Row],[INGRESOS]]-Tabla3[[#This Row],[EGRESOS]]</f>
        <v>-3024</v>
      </c>
      <c r="H936" s="137">
        <v>-21003463.010000002</v>
      </c>
      <c r="I936" s="135">
        <v>1170</v>
      </c>
      <c r="J936" s="136">
        <f>Tabla3[[#This Row],[EGRESOS]]/Tabla3[[#This Row],[TC]]</f>
        <v>2.5846153846153848</v>
      </c>
      <c r="K936" s="136">
        <f>Tabla3[[#This Row],[INGRESOS]]/Tabla3[[#This Row],[TC]]</f>
        <v>0</v>
      </c>
      <c r="L936" s="8" t="s">
        <v>303</v>
      </c>
      <c r="M936" s="8" t="s">
        <v>304</v>
      </c>
      <c r="N936" s="8" t="s">
        <v>20</v>
      </c>
      <c r="O936" s="8" t="s">
        <v>184</v>
      </c>
      <c r="P936" s="8" t="s">
        <v>187</v>
      </c>
      <c r="Q936" s="8" t="s">
        <v>188</v>
      </c>
      <c r="R936" s="8" t="s">
        <v>308</v>
      </c>
      <c r="S936" s="8"/>
      <c r="T936" s="8"/>
      <c r="U936" s="8" t="s">
        <v>261</v>
      </c>
      <c r="V936" s="8"/>
      <c r="W936" s="8" t="s">
        <v>306</v>
      </c>
      <c r="X936" s="8" t="s">
        <v>98</v>
      </c>
      <c r="Y936" s="8" t="s">
        <v>23</v>
      </c>
    </row>
    <row r="937" spans="1:25" hidden="1" x14ac:dyDescent="0.25">
      <c r="A937" s="283" t="s">
        <v>242</v>
      </c>
      <c r="B937" s="260">
        <v>45775</v>
      </c>
      <c r="C937" s="261" t="s">
        <v>508</v>
      </c>
      <c r="D937" s="261"/>
      <c r="E937" s="262">
        <v>432</v>
      </c>
      <c r="F937" s="262">
        <v>0</v>
      </c>
      <c r="G937" s="285">
        <f>Tabla3[[#This Row],[INGRESOS]]-Tabla3[[#This Row],[EGRESOS]]</f>
        <v>-432</v>
      </c>
      <c r="H937" s="137">
        <v>-21003895.010000002</v>
      </c>
      <c r="I937" s="135">
        <v>1170</v>
      </c>
      <c r="J937" s="136">
        <f>Tabla3[[#This Row],[EGRESOS]]/Tabla3[[#This Row],[TC]]</f>
        <v>0.36923076923076925</v>
      </c>
      <c r="K937" s="136">
        <f>Tabla3[[#This Row],[INGRESOS]]/Tabla3[[#This Row],[TC]]</f>
        <v>0</v>
      </c>
      <c r="L937" s="8" t="s">
        <v>303</v>
      </c>
      <c r="M937" s="8" t="s">
        <v>304</v>
      </c>
      <c r="N937" s="8" t="s">
        <v>20</v>
      </c>
      <c r="O937" s="8" t="s">
        <v>184</v>
      </c>
      <c r="P937" s="8" t="s">
        <v>187</v>
      </c>
      <c r="Q937" s="8" t="s">
        <v>188</v>
      </c>
      <c r="R937" s="8" t="s">
        <v>334</v>
      </c>
      <c r="S937" s="8"/>
      <c r="T937" s="8"/>
      <c r="U937" s="8" t="s">
        <v>261</v>
      </c>
      <c r="V937" s="8"/>
      <c r="W937" s="8" t="s">
        <v>306</v>
      </c>
      <c r="X937" s="8" t="s">
        <v>98</v>
      </c>
      <c r="Y937" s="8" t="s">
        <v>23</v>
      </c>
    </row>
    <row r="938" spans="1:25" hidden="1" x14ac:dyDescent="0.25">
      <c r="A938" s="283" t="s">
        <v>242</v>
      </c>
      <c r="B938" s="260">
        <v>45775</v>
      </c>
      <c r="C938" s="261" t="s">
        <v>536</v>
      </c>
      <c r="D938" s="261"/>
      <c r="E938" s="262">
        <v>14400</v>
      </c>
      <c r="F938" s="262">
        <v>0</v>
      </c>
      <c r="G938" s="285">
        <f>Tabla3[[#This Row],[INGRESOS]]-Tabla3[[#This Row],[EGRESOS]]</f>
        <v>-14400</v>
      </c>
      <c r="H938" s="137">
        <v>-21018295.010000002</v>
      </c>
      <c r="I938" s="135">
        <v>1170</v>
      </c>
      <c r="J938" s="136">
        <f>Tabla3[[#This Row],[EGRESOS]]/Tabla3[[#This Row],[TC]]</f>
        <v>12.307692307692308</v>
      </c>
      <c r="K938" s="136">
        <f>Tabla3[[#This Row],[INGRESOS]]/Tabla3[[#This Row],[TC]]</f>
        <v>0</v>
      </c>
      <c r="L938" s="8" t="s">
        <v>303</v>
      </c>
      <c r="M938" s="8" t="s">
        <v>304</v>
      </c>
      <c r="N938" s="8" t="s">
        <v>20</v>
      </c>
      <c r="O938" s="8" t="s">
        <v>184</v>
      </c>
      <c r="P938" s="8" t="s">
        <v>185</v>
      </c>
      <c r="Q938" s="8" t="s">
        <v>186</v>
      </c>
      <c r="R938" s="8"/>
      <c r="S938" s="8"/>
      <c r="T938" s="8"/>
      <c r="U938" s="8" t="s">
        <v>261</v>
      </c>
      <c r="V938" s="8"/>
      <c r="W938" s="8" t="s">
        <v>306</v>
      </c>
      <c r="X938" s="8" t="s">
        <v>98</v>
      </c>
      <c r="Y938" s="8" t="s">
        <v>23</v>
      </c>
    </row>
    <row r="939" spans="1:25" hidden="1" x14ac:dyDescent="0.25">
      <c r="A939" s="283" t="s">
        <v>242</v>
      </c>
      <c r="B939" s="260">
        <v>45775</v>
      </c>
      <c r="C939" s="261" t="s">
        <v>637</v>
      </c>
      <c r="D939" s="261"/>
      <c r="E939" s="262">
        <v>660</v>
      </c>
      <c r="F939" s="262">
        <v>0</v>
      </c>
      <c r="G939" s="285">
        <f>Tabla3[[#This Row],[INGRESOS]]-Tabla3[[#This Row],[EGRESOS]]</f>
        <v>-660</v>
      </c>
      <c r="H939" s="137">
        <v>-21018955.010000002</v>
      </c>
      <c r="I939" s="135">
        <v>1170</v>
      </c>
      <c r="J939" s="136">
        <f>Tabla3[[#This Row],[EGRESOS]]/Tabla3[[#This Row],[TC]]</f>
        <v>0.5641025641025641</v>
      </c>
      <c r="K939" s="136">
        <f>Tabla3[[#This Row],[INGRESOS]]/Tabla3[[#This Row],[TC]]</f>
        <v>0</v>
      </c>
      <c r="L939" s="8" t="s">
        <v>303</v>
      </c>
      <c r="M939" s="8" t="s">
        <v>304</v>
      </c>
      <c r="N939" s="8" t="s">
        <v>20</v>
      </c>
      <c r="O939" s="8" t="s">
        <v>184</v>
      </c>
      <c r="P939" s="8" t="s">
        <v>187</v>
      </c>
      <c r="Q939" s="8" t="s">
        <v>188</v>
      </c>
      <c r="R939" s="8" t="s">
        <v>317</v>
      </c>
      <c r="S939" s="8"/>
      <c r="T939" s="8"/>
      <c r="U939" s="8" t="s">
        <v>261</v>
      </c>
      <c r="V939" s="8"/>
      <c r="W939" s="8" t="s">
        <v>306</v>
      </c>
      <c r="X939" s="8" t="s">
        <v>98</v>
      </c>
      <c r="Y939" s="8" t="s">
        <v>23</v>
      </c>
    </row>
    <row r="940" spans="1:25" hidden="1" x14ac:dyDescent="0.25">
      <c r="A940" s="283" t="s">
        <v>242</v>
      </c>
      <c r="B940" s="260">
        <v>45775</v>
      </c>
      <c r="C940" s="261" t="s">
        <v>637</v>
      </c>
      <c r="D940" s="261"/>
      <c r="E940" s="262">
        <v>666.84</v>
      </c>
      <c r="F940" s="262">
        <v>0</v>
      </c>
      <c r="G940" s="285">
        <f>Tabla3[[#This Row],[INGRESOS]]-Tabla3[[#This Row],[EGRESOS]]</f>
        <v>-666.84</v>
      </c>
      <c r="H940" s="137">
        <v>-21019621.850000001</v>
      </c>
      <c r="I940" s="135">
        <v>1170</v>
      </c>
      <c r="J940" s="136">
        <f>Tabla3[[#This Row],[EGRESOS]]/Tabla3[[#This Row],[TC]]</f>
        <v>0.56994871794871793</v>
      </c>
      <c r="K940" s="136">
        <f>Tabla3[[#This Row],[INGRESOS]]/Tabla3[[#This Row],[TC]]</f>
        <v>0</v>
      </c>
      <c r="L940" s="8" t="s">
        <v>303</v>
      </c>
      <c r="M940" s="8" t="s">
        <v>304</v>
      </c>
      <c r="N940" s="8" t="s">
        <v>20</v>
      </c>
      <c r="O940" s="8" t="s">
        <v>184</v>
      </c>
      <c r="P940" s="8" t="s">
        <v>187</v>
      </c>
      <c r="Q940" s="8" t="s">
        <v>188</v>
      </c>
      <c r="R940" s="8" t="s">
        <v>317</v>
      </c>
      <c r="S940" s="8"/>
      <c r="T940" s="8"/>
      <c r="U940" s="8" t="s">
        <v>261</v>
      </c>
      <c r="V940" s="8"/>
      <c r="W940" s="8" t="s">
        <v>306</v>
      </c>
      <c r="X940" s="8" t="s">
        <v>98</v>
      </c>
      <c r="Y940" s="8" t="s">
        <v>23</v>
      </c>
    </row>
    <row r="941" spans="1:25" x14ac:dyDescent="0.25">
      <c r="A941" s="283" t="s">
        <v>242</v>
      </c>
      <c r="B941" s="260">
        <v>45776</v>
      </c>
      <c r="C941" s="261" t="s">
        <v>521</v>
      </c>
      <c r="D941" s="261" t="s">
        <v>674</v>
      </c>
      <c r="E941" s="262">
        <v>811420.13</v>
      </c>
      <c r="F941" s="262">
        <v>0</v>
      </c>
      <c r="G941" s="285">
        <f>Tabla3[[#This Row],[INGRESOS]]-Tabla3[[#This Row],[EGRESOS]]</f>
        <v>-811420.13</v>
      </c>
      <c r="H941" s="137">
        <v>-21831041.98</v>
      </c>
      <c r="I941" s="135">
        <v>1170</v>
      </c>
      <c r="J941" s="136">
        <f>Tabla3[[#This Row],[EGRESOS]]/Tabla3[[#This Row],[TC]]</f>
        <v>693.52147863247865</v>
      </c>
      <c r="K941" s="136">
        <f>Tabla3[[#This Row],[INGRESOS]]/Tabla3[[#This Row],[TC]]</f>
        <v>0</v>
      </c>
      <c r="L941" s="8" t="s">
        <v>303</v>
      </c>
      <c r="M941" s="8" t="s">
        <v>304</v>
      </c>
      <c r="N941" s="8" t="s">
        <v>20</v>
      </c>
      <c r="O941" s="8" t="s">
        <v>742</v>
      </c>
      <c r="P941" s="8" t="s">
        <v>220</v>
      </c>
      <c r="Q941" s="8" t="s">
        <v>231</v>
      </c>
      <c r="R941" s="8" t="s">
        <v>142</v>
      </c>
      <c r="S941" s="8" t="s">
        <v>588</v>
      </c>
      <c r="T941" s="8" t="s">
        <v>675</v>
      </c>
      <c r="U941" s="8" t="s">
        <v>258</v>
      </c>
      <c r="V941" s="8"/>
      <c r="W941" s="8" t="s">
        <v>306</v>
      </c>
      <c r="X941" s="8" t="s">
        <v>29</v>
      </c>
      <c r="Y941" s="8" t="s">
        <v>23</v>
      </c>
    </row>
    <row r="942" spans="1:25" hidden="1" x14ac:dyDescent="0.25">
      <c r="A942" s="283" t="s">
        <v>242</v>
      </c>
      <c r="B942" s="260">
        <v>45776</v>
      </c>
      <c r="C942" s="261" t="s">
        <v>636</v>
      </c>
      <c r="D942" s="261"/>
      <c r="E942" s="262">
        <v>0</v>
      </c>
      <c r="F942" s="262">
        <v>850000</v>
      </c>
      <c r="G942" s="285">
        <f>Tabla3[[#This Row],[INGRESOS]]-Tabla3[[#This Row],[EGRESOS]]</f>
        <v>850000</v>
      </c>
      <c r="H942" s="137">
        <v>-20981041.98</v>
      </c>
      <c r="I942" s="135">
        <v>1170</v>
      </c>
      <c r="J942" s="136">
        <f>Tabla3[[#This Row],[EGRESOS]]/Tabla3[[#This Row],[TC]]</f>
        <v>0</v>
      </c>
      <c r="K942" s="136">
        <f>Tabla3[[#This Row],[INGRESOS]]/Tabla3[[#This Row],[TC]]</f>
        <v>726.49572649572644</v>
      </c>
      <c r="L942" s="8" t="s">
        <v>303</v>
      </c>
      <c r="M942" s="8" t="s">
        <v>304</v>
      </c>
      <c r="N942" s="8" t="s">
        <v>20</v>
      </c>
      <c r="O942" s="8" t="s">
        <v>184</v>
      </c>
      <c r="P942" s="8" t="s">
        <v>194</v>
      </c>
      <c r="Q942" s="8" t="s">
        <v>236</v>
      </c>
      <c r="R942" s="8"/>
      <c r="S942" s="8" t="s">
        <v>311</v>
      </c>
      <c r="T942" s="8"/>
      <c r="U942" s="8" t="s">
        <v>272</v>
      </c>
      <c r="V942" s="8" t="s">
        <v>311</v>
      </c>
      <c r="W942" s="8" t="s">
        <v>306</v>
      </c>
      <c r="X942" s="8" t="s">
        <v>23</v>
      </c>
      <c r="Y942" s="8" t="s">
        <v>97</v>
      </c>
    </row>
    <row r="943" spans="1:25" hidden="1" x14ac:dyDescent="0.25">
      <c r="A943" s="283" t="s">
        <v>242</v>
      </c>
      <c r="B943" s="260">
        <v>45776</v>
      </c>
      <c r="C943" s="261" t="s">
        <v>676</v>
      </c>
      <c r="D943" s="261"/>
      <c r="E943" s="262">
        <v>0</v>
      </c>
      <c r="F943" s="262">
        <v>17155.41</v>
      </c>
      <c r="G943" s="285">
        <f>Tabla3[[#This Row],[INGRESOS]]-Tabla3[[#This Row],[EGRESOS]]</f>
        <v>17155.41</v>
      </c>
      <c r="H943" s="137">
        <v>-20963886.57</v>
      </c>
      <c r="I943" s="135">
        <v>1170</v>
      </c>
      <c r="J943" s="136">
        <f>Tabla3[[#This Row],[EGRESOS]]/Tabla3[[#This Row],[TC]]</f>
        <v>0</v>
      </c>
      <c r="K943" s="136">
        <f>Tabla3[[#This Row],[INGRESOS]]/Tabla3[[#This Row],[TC]]</f>
        <v>14.66274358974359</v>
      </c>
      <c r="L943" s="8" t="s">
        <v>303</v>
      </c>
      <c r="M943" s="8" t="s">
        <v>304</v>
      </c>
      <c r="N943" s="8" t="s">
        <v>20</v>
      </c>
      <c r="O943" s="8" t="s">
        <v>214</v>
      </c>
      <c r="P943" s="8" t="s">
        <v>245</v>
      </c>
      <c r="Q943" s="8" t="s">
        <v>246</v>
      </c>
      <c r="R943" s="8"/>
      <c r="S943" s="8"/>
      <c r="T943" s="8"/>
      <c r="U943" s="8" t="s">
        <v>276</v>
      </c>
      <c r="V943" s="8"/>
      <c r="W943" s="8" t="s">
        <v>306</v>
      </c>
      <c r="X943" s="8" t="s">
        <v>23</v>
      </c>
      <c r="Y943" s="8" t="s">
        <v>96</v>
      </c>
    </row>
    <row r="944" spans="1:25" hidden="1" x14ac:dyDescent="0.25">
      <c r="A944" s="283" t="s">
        <v>242</v>
      </c>
      <c r="B944" s="260">
        <v>45776</v>
      </c>
      <c r="C944" s="261" t="s">
        <v>507</v>
      </c>
      <c r="D944" s="261"/>
      <c r="E944" s="262">
        <v>3024</v>
      </c>
      <c r="F944" s="262">
        <v>0</v>
      </c>
      <c r="G944" s="285">
        <f>Tabla3[[#This Row],[INGRESOS]]-Tabla3[[#This Row],[EGRESOS]]</f>
        <v>-3024</v>
      </c>
      <c r="H944" s="137">
        <v>-20966910.57</v>
      </c>
      <c r="I944" s="135">
        <v>1170</v>
      </c>
      <c r="J944" s="136">
        <f>Tabla3[[#This Row],[EGRESOS]]/Tabla3[[#This Row],[TC]]</f>
        <v>2.5846153846153848</v>
      </c>
      <c r="K944" s="136">
        <f>Tabla3[[#This Row],[INGRESOS]]/Tabla3[[#This Row],[TC]]</f>
        <v>0</v>
      </c>
      <c r="L944" s="8" t="s">
        <v>303</v>
      </c>
      <c r="M944" s="8" t="s">
        <v>304</v>
      </c>
      <c r="N944" s="8" t="s">
        <v>20</v>
      </c>
      <c r="O944" s="8" t="s">
        <v>184</v>
      </c>
      <c r="P944" s="8" t="s">
        <v>187</v>
      </c>
      <c r="Q944" s="8" t="s">
        <v>188</v>
      </c>
      <c r="R944" s="8" t="s">
        <v>308</v>
      </c>
      <c r="S944" s="8"/>
      <c r="T944" s="8"/>
      <c r="U944" s="8" t="s">
        <v>261</v>
      </c>
      <c r="V944" s="8"/>
      <c r="W944" s="8" t="s">
        <v>306</v>
      </c>
      <c r="X944" s="8" t="s">
        <v>98</v>
      </c>
      <c r="Y944" s="8" t="s">
        <v>23</v>
      </c>
    </row>
    <row r="945" spans="1:25" hidden="1" x14ac:dyDescent="0.25">
      <c r="A945" s="283" t="s">
        <v>242</v>
      </c>
      <c r="B945" s="260">
        <v>45776</v>
      </c>
      <c r="C945" s="261" t="s">
        <v>508</v>
      </c>
      <c r="D945" s="261"/>
      <c r="E945" s="262">
        <v>432</v>
      </c>
      <c r="F945" s="262">
        <v>0</v>
      </c>
      <c r="G945" s="285">
        <f>Tabla3[[#This Row],[INGRESOS]]-Tabla3[[#This Row],[EGRESOS]]</f>
        <v>-432</v>
      </c>
      <c r="H945" s="137">
        <v>-20967342.57</v>
      </c>
      <c r="I945" s="135">
        <v>1170</v>
      </c>
      <c r="J945" s="136">
        <f>Tabla3[[#This Row],[EGRESOS]]/Tabla3[[#This Row],[TC]]</f>
        <v>0.36923076923076925</v>
      </c>
      <c r="K945" s="136">
        <f>Tabla3[[#This Row],[INGRESOS]]/Tabla3[[#This Row],[TC]]</f>
        <v>0</v>
      </c>
      <c r="L945" s="8" t="s">
        <v>303</v>
      </c>
      <c r="M945" s="8" t="s">
        <v>304</v>
      </c>
      <c r="N945" s="8" t="s">
        <v>20</v>
      </c>
      <c r="O945" s="8" t="s">
        <v>184</v>
      </c>
      <c r="P945" s="8" t="s">
        <v>187</v>
      </c>
      <c r="Q945" s="8" t="s">
        <v>188</v>
      </c>
      <c r="R945" s="8" t="s">
        <v>334</v>
      </c>
      <c r="S945" s="8"/>
      <c r="T945" s="8"/>
      <c r="U945" s="8" t="s">
        <v>261</v>
      </c>
      <c r="V945" s="8"/>
      <c r="W945" s="8" t="s">
        <v>306</v>
      </c>
      <c r="X945" s="8" t="s">
        <v>98</v>
      </c>
      <c r="Y945" s="8" t="s">
        <v>23</v>
      </c>
    </row>
    <row r="946" spans="1:25" hidden="1" x14ac:dyDescent="0.25">
      <c r="A946" s="283" t="s">
        <v>242</v>
      </c>
      <c r="B946" s="260">
        <v>45776</v>
      </c>
      <c r="C946" s="261" t="s">
        <v>536</v>
      </c>
      <c r="D946" s="261"/>
      <c r="E946" s="262">
        <v>14400</v>
      </c>
      <c r="F946" s="262">
        <v>0</v>
      </c>
      <c r="G946" s="285">
        <f>Tabla3[[#This Row],[INGRESOS]]-Tabla3[[#This Row],[EGRESOS]]</f>
        <v>-14400</v>
      </c>
      <c r="H946" s="137">
        <v>-20981742.57</v>
      </c>
      <c r="I946" s="135">
        <v>1170</v>
      </c>
      <c r="J946" s="136">
        <f>Tabla3[[#This Row],[EGRESOS]]/Tabla3[[#This Row],[TC]]</f>
        <v>12.307692307692308</v>
      </c>
      <c r="K946" s="136">
        <f>Tabla3[[#This Row],[INGRESOS]]/Tabla3[[#This Row],[TC]]</f>
        <v>0</v>
      </c>
      <c r="L946" s="8" t="s">
        <v>303</v>
      </c>
      <c r="M946" s="8" t="s">
        <v>304</v>
      </c>
      <c r="N946" s="8" t="s">
        <v>20</v>
      </c>
      <c r="O946" s="8" t="s">
        <v>184</v>
      </c>
      <c r="P946" s="8" t="s">
        <v>185</v>
      </c>
      <c r="Q946" s="8" t="s">
        <v>186</v>
      </c>
      <c r="R946" s="8"/>
      <c r="S946" s="8"/>
      <c r="T946" s="8"/>
      <c r="U946" s="8" t="s">
        <v>261</v>
      </c>
      <c r="V946" s="8"/>
      <c r="W946" s="8" t="s">
        <v>306</v>
      </c>
      <c r="X946" s="8" t="s">
        <v>98</v>
      </c>
      <c r="Y946" s="8" t="s">
        <v>23</v>
      </c>
    </row>
    <row r="947" spans="1:25" hidden="1" x14ac:dyDescent="0.25">
      <c r="A947" s="283" t="s">
        <v>242</v>
      </c>
      <c r="B947" s="260">
        <v>45776</v>
      </c>
      <c r="C947" s="261" t="s">
        <v>637</v>
      </c>
      <c r="D947" s="261"/>
      <c r="E947" s="262">
        <v>5202.93</v>
      </c>
      <c r="F947" s="262">
        <v>0</v>
      </c>
      <c r="G947" s="285">
        <f>Tabla3[[#This Row],[INGRESOS]]-Tabla3[[#This Row],[EGRESOS]]</f>
        <v>-5202.93</v>
      </c>
      <c r="H947" s="137">
        <v>-20986945.5</v>
      </c>
      <c r="I947" s="135">
        <v>1170</v>
      </c>
      <c r="J947" s="136">
        <f>Tabla3[[#This Row],[EGRESOS]]/Tabla3[[#This Row],[TC]]</f>
        <v>4.4469487179487182</v>
      </c>
      <c r="K947" s="136">
        <f>Tabla3[[#This Row],[INGRESOS]]/Tabla3[[#This Row],[TC]]</f>
        <v>0</v>
      </c>
      <c r="L947" s="8" t="s">
        <v>303</v>
      </c>
      <c r="M947" s="8" t="s">
        <v>304</v>
      </c>
      <c r="N947" s="8" t="s">
        <v>20</v>
      </c>
      <c r="O947" s="8" t="s">
        <v>184</v>
      </c>
      <c r="P947" s="8" t="s">
        <v>187</v>
      </c>
      <c r="Q947" s="8" t="s">
        <v>188</v>
      </c>
      <c r="R947" s="8" t="s">
        <v>317</v>
      </c>
      <c r="S947" s="8"/>
      <c r="T947" s="8"/>
      <c r="U947" s="8" t="s">
        <v>261</v>
      </c>
      <c r="V947" s="8"/>
      <c r="W947" s="8" t="s">
        <v>306</v>
      </c>
      <c r="X947" s="8" t="s">
        <v>98</v>
      </c>
      <c r="Y947" s="8" t="s">
        <v>23</v>
      </c>
    </row>
    <row r="948" spans="1:25" hidden="1" x14ac:dyDescent="0.25">
      <c r="A948" s="283" t="s">
        <v>242</v>
      </c>
      <c r="B948" s="260">
        <v>45776</v>
      </c>
      <c r="C948" s="261" t="s">
        <v>637</v>
      </c>
      <c r="D948" s="261"/>
      <c r="E948" s="262">
        <v>4975.66</v>
      </c>
      <c r="F948" s="262">
        <v>0</v>
      </c>
      <c r="G948" s="285">
        <f>Tabla3[[#This Row],[INGRESOS]]-Tabla3[[#This Row],[EGRESOS]]</f>
        <v>-4975.66</v>
      </c>
      <c r="H948" s="137">
        <v>-20991921.16</v>
      </c>
      <c r="I948" s="135">
        <v>1170</v>
      </c>
      <c r="J948" s="136">
        <f>Tabla3[[#This Row],[EGRESOS]]/Tabla3[[#This Row],[TC]]</f>
        <v>4.2527008547008549</v>
      </c>
      <c r="K948" s="136">
        <f>Tabla3[[#This Row],[INGRESOS]]/Tabla3[[#This Row],[TC]]</f>
        <v>0</v>
      </c>
      <c r="L948" s="8" t="s">
        <v>303</v>
      </c>
      <c r="M948" s="8" t="s">
        <v>304</v>
      </c>
      <c r="N948" s="8" t="s">
        <v>20</v>
      </c>
      <c r="O948" s="8" t="s">
        <v>184</v>
      </c>
      <c r="P948" s="8" t="s">
        <v>187</v>
      </c>
      <c r="Q948" s="8" t="s">
        <v>188</v>
      </c>
      <c r="R948" s="8" t="s">
        <v>317</v>
      </c>
      <c r="S948" s="8"/>
      <c r="T948" s="8"/>
      <c r="U948" s="8" t="s">
        <v>261</v>
      </c>
      <c r="V948" s="8"/>
      <c r="W948" s="8" t="s">
        <v>306</v>
      </c>
      <c r="X948" s="8" t="s">
        <v>98</v>
      </c>
      <c r="Y948" s="8" t="s">
        <v>23</v>
      </c>
    </row>
    <row r="949" spans="1:25" hidden="1" x14ac:dyDescent="0.25">
      <c r="A949" s="283" t="s">
        <v>242</v>
      </c>
      <c r="B949" s="260">
        <v>45776</v>
      </c>
      <c r="C949" s="261" t="s">
        <v>537</v>
      </c>
      <c r="D949" s="261"/>
      <c r="E949" s="262">
        <v>57040</v>
      </c>
      <c r="F949" s="262">
        <v>0</v>
      </c>
      <c r="G949" s="285">
        <f>Tabla3[[#This Row],[INGRESOS]]-Tabla3[[#This Row],[EGRESOS]]</f>
        <v>-57040</v>
      </c>
      <c r="H949" s="137">
        <v>-21048961.16</v>
      </c>
      <c r="I949" s="135">
        <v>1170</v>
      </c>
      <c r="J949" s="136">
        <f>Tabla3[[#This Row],[EGRESOS]]/Tabla3[[#This Row],[TC]]</f>
        <v>48.752136752136749</v>
      </c>
      <c r="K949" s="136">
        <f>Tabla3[[#This Row],[INGRESOS]]/Tabla3[[#This Row],[TC]]</f>
        <v>0</v>
      </c>
      <c r="L949" s="8" t="s">
        <v>303</v>
      </c>
      <c r="M949" s="8" t="s">
        <v>304</v>
      </c>
      <c r="N949" s="8" t="s">
        <v>20</v>
      </c>
      <c r="O949" s="8" t="s">
        <v>214</v>
      </c>
      <c r="P949" s="8" t="s">
        <v>216</v>
      </c>
      <c r="Q949" s="8" t="s">
        <v>217</v>
      </c>
      <c r="R949" s="8" t="s">
        <v>546</v>
      </c>
      <c r="S949" s="8"/>
      <c r="T949" s="8"/>
      <c r="U949" s="8" t="s">
        <v>262</v>
      </c>
      <c r="V949" s="8"/>
      <c r="W949" s="8"/>
      <c r="X949" s="8"/>
      <c r="Y949" s="8"/>
    </row>
    <row r="950" spans="1:25" hidden="1" x14ac:dyDescent="0.25">
      <c r="A950" s="283" t="s">
        <v>242</v>
      </c>
      <c r="B950" s="260">
        <v>45777</v>
      </c>
      <c r="C950" s="261" t="s">
        <v>537</v>
      </c>
      <c r="D950" s="261"/>
      <c r="E950" s="262">
        <v>342.24</v>
      </c>
      <c r="F950" s="262">
        <v>0</v>
      </c>
      <c r="G950" s="285">
        <f>Tabla3[[#This Row],[INGRESOS]]-Tabla3[[#This Row],[EGRESOS]]</f>
        <v>-342.24</v>
      </c>
      <c r="H950" s="137">
        <v>-21049303.399999999</v>
      </c>
      <c r="I950" s="135">
        <v>1170</v>
      </c>
      <c r="J950" s="136">
        <f>Tabla3[[#This Row],[EGRESOS]]/Tabla3[[#This Row],[TC]]</f>
        <v>0.29251282051282051</v>
      </c>
      <c r="K950" s="136">
        <f>Tabla3[[#This Row],[INGRESOS]]/Tabla3[[#This Row],[TC]]</f>
        <v>0</v>
      </c>
      <c r="L950" s="8" t="s">
        <v>303</v>
      </c>
      <c r="M950" s="8" t="s">
        <v>304</v>
      </c>
      <c r="N950" s="8" t="s">
        <v>20</v>
      </c>
      <c r="O950" s="8" t="s">
        <v>214</v>
      </c>
      <c r="P950" s="8" t="s">
        <v>216</v>
      </c>
      <c r="Q950" s="8" t="s">
        <v>217</v>
      </c>
      <c r="R950" s="8" t="s">
        <v>546</v>
      </c>
      <c r="S950" s="8"/>
      <c r="T950" s="8"/>
      <c r="U950" s="8" t="s">
        <v>262</v>
      </c>
      <c r="V950" s="8"/>
      <c r="W950" s="8"/>
      <c r="X950" s="8"/>
      <c r="Y950" s="8"/>
    </row>
    <row r="951" spans="1:25" hidden="1" x14ac:dyDescent="0.25">
      <c r="A951" s="283" t="s">
        <v>247</v>
      </c>
      <c r="B951" s="260">
        <v>45782</v>
      </c>
      <c r="C951" s="261" t="s">
        <v>507</v>
      </c>
      <c r="D951" s="261"/>
      <c r="E951" s="262">
        <v>21915.91</v>
      </c>
      <c r="F951" s="262">
        <v>0</v>
      </c>
      <c r="G951" s="285">
        <f>Tabla3[[#This Row],[INGRESOS]]-Tabla3[[#This Row],[EGRESOS]]</f>
        <v>-21915.91</v>
      </c>
      <c r="H951" s="137">
        <v>-21071219.309999999</v>
      </c>
      <c r="I951" s="135">
        <v>1170</v>
      </c>
      <c r="J951" s="136">
        <f>Tabla3[[#This Row],[EGRESOS]]/Tabla3[[#This Row],[TC]]</f>
        <v>18.731547008547007</v>
      </c>
      <c r="K951" s="136">
        <f>Tabla3[[#This Row],[INGRESOS]]/Tabla3[[#This Row],[TC]]</f>
        <v>0</v>
      </c>
      <c r="L951" s="8" t="s">
        <v>303</v>
      </c>
      <c r="M951" s="8" t="s">
        <v>304</v>
      </c>
      <c r="N951" s="8" t="s">
        <v>20</v>
      </c>
      <c r="O951" s="8" t="s">
        <v>184</v>
      </c>
      <c r="P951" s="8" t="s">
        <v>187</v>
      </c>
      <c r="Q951" s="8" t="s">
        <v>188</v>
      </c>
      <c r="R951" s="8" t="s">
        <v>308</v>
      </c>
      <c r="S951" s="8"/>
      <c r="T951" s="8"/>
      <c r="U951" s="8" t="s">
        <v>261</v>
      </c>
      <c r="V951" s="8"/>
      <c r="W951" s="8" t="s">
        <v>306</v>
      </c>
      <c r="X951" s="8" t="s">
        <v>98</v>
      </c>
      <c r="Y951" s="8" t="s">
        <v>23</v>
      </c>
    </row>
    <row r="952" spans="1:25" hidden="1" x14ac:dyDescent="0.25">
      <c r="A952" s="283" t="s">
        <v>247</v>
      </c>
      <c r="B952" s="260">
        <v>45782</v>
      </c>
      <c r="C952" s="261" t="s">
        <v>508</v>
      </c>
      <c r="D952" s="261"/>
      <c r="E952" s="262">
        <v>3130.84</v>
      </c>
      <c r="F952" s="262">
        <v>0</v>
      </c>
      <c r="G952" s="285">
        <f>Tabla3[[#This Row],[INGRESOS]]-Tabla3[[#This Row],[EGRESOS]]</f>
        <v>-3130.84</v>
      </c>
      <c r="H952" s="137">
        <v>-21074350.149999999</v>
      </c>
      <c r="I952" s="135">
        <v>1170</v>
      </c>
      <c r="J952" s="136">
        <f>Tabla3[[#This Row],[EGRESOS]]/Tabla3[[#This Row],[TC]]</f>
        <v>2.675931623931624</v>
      </c>
      <c r="K952" s="136">
        <f>Tabla3[[#This Row],[INGRESOS]]/Tabla3[[#This Row],[TC]]</f>
        <v>0</v>
      </c>
      <c r="L952" s="8" t="s">
        <v>303</v>
      </c>
      <c r="M952" s="8" t="s">
        <v>304</v>
      </c>
      <c r="N952" s="8" t="s">
        <v>20</v>
      </c>
      <c r="O952" s="8" t="s">
        <v>184</v>
      </c>
      <c r="P952" s="8" t="s">
        <v>187</v>
      </c>
      <c r="Q952" s="8" t="s">
        <v>188</v>
      </c>
      <c r="R952" s="8" t="s">
        <v>334</v>
      </c>
      <c r="S952" s="8"/>
      <c r="T952" s="8"/>
      <c r="U952" s="8" t="s">
        <v>261</v>
      </c>
      <c r="V952" s="8"/>
      <c r="W952" s="8" t="s">
        <v>306</v>
      </c>
      <c r="X952" s="8" t="s">
        <v>98</v>
      </c>
      <c r="Y952" s="8" t="s">
        <v>23</v>
      </c>
    </row>
    <row r="953" spans="1:25" hidden="1" x14ac:dyDescent="0.25">
      <c r="A953" s="283" t="s">
        <v>247</v>
      </c>
      <c r="B953" s="260">
        <v>45782</v>
      </c>
      <c r="C953" s="261" t="s">
        <v>518</v>
      </c>
      <c r="D953" s="261"/>
      <c r="E953" s="262">
        <v>208722.91</v>
      </c>
      <c r="F953" s="262">
        <v>0</v>
      </c>
      <c r="G953" s="285">
        <f>Tabla3[[#This Row],[INGRESOS]]-Tabla3[[#This Row],[EGRESOS]]</f>
        <v>-208722.91</v>
      </c>
      <c r="H953" s="137">
        <v>-21283073.059999999</v>
      </c>
      <c r="I953" s="135">
        <v>1170</v>
      </c>
      <c r="J953" s="136">
        <f>Tabla3[[#This Row],[EGRESOS]]/Tabla3[[#This Row],[TC]]</f>
        <v>178.39564957264957</v>
      </c>
      <c r="K953" s="136">
        <f>Tabla3[[#This Row],[INGRESOS]]/Tabla3[[#This Row],[TC]]</f>
        <v>0</v>
      </c>
      <c r="L953" s="8" t="s">
        <v>303</v>
      </c>
      <c r="M953" s="8" t="s">
        <v>304</v>
      </c>
      <c r="N953" s="8" t="s">
        <v>20</v>
      </c>
      <c r="O953" s="8" t="s">
        <v>184</v>
      </c>
      <c r="P953" s="8" t="s">
        <v>189</v>
      </c>
      <c r="Q953" s="8" t="s">
        <v>190</v>
      </c>
      <c r="R953" s="8"/>
      <c r="S953" s="8"/>
      <c r="T953" s="8"/>
      <c r="U953" s="8" t="s">
        <v>261</v>
      </c>
      <c r="V953" s="8"/>
      <c r="W953" s="8" t="s">
        <v>306</v>
      </c>
      <c r="X953" s="8" t="s">
        <v>98</v>
      </c>
      <c r="Y953" s="8" t="s">
        <v>23</v>
      </c>
    </row>
    <row r="954" spans="1:25" hidden="1" x14ac:dyDescent="0.25">
      <c r="A954" s="283" t="s">
        <v>247</v>
      </c>
      <c r="B954" s="260">
        <v>45782</v>
      </c>
      <c r="C954" s="261" t="s">
        <v>507</v>
      </c>
      <c r="D954" s="261"/>
      <c r="E954" s="262">
        <v>59801.23</v>
      </c>
      <c r="F954" s="262">
        <v>0</v>
      </c>
      <c r="G954" s="285">
        <f>Tabla3[[#This Row],[INGRESOS]]-Tabla3[[#This Row],[EGRESOS]]</f>
        <v>-59801.23</v>
      </c>
      <c r="H954" s="137">
        <v>-21342874.289999999</v>
      </c>
      <c r="I954" s="135">
        <v>1170</v>
      </c>
      <c r="J954" s="136">
        <f>Tabla3[[#This Row],[EGRESOS]]/Tabla3[[#This Row],[TC]]</f>
        <v>51.112162393162393</v>
      </c>
      <c r="K954" s="136">
        <f>Tabla3[[#This Row],[INGRESOS]]/Tabla3[[#This Row],[TC]]</f>
        <v>0</v>
      </c>
      <c r="L954" s="8" t="s">
        <v>303</v>
      </c>
      <c r="M954" s="8" t="s">
        <v>304</v>
      </c>
      <c r="N954" s="8" t="s">
        <v>20</v>
      </c>
      <c r="O954" s="8" t="s">
        <v>184</v>
      </c>
      <c r="P954" s="8" t="s">
        <v>187</v>
      </c>
      <c r="Q954" s="8" t="s">
        <v>188</v>
      </c>
      <c r="R954" s="8" t="s">
        <v>308</v>
      </c>
      <c r="S954" s="8"/>
      <c r="T954" s="8"/>
      <c r="U954" s="8" t="s">
        <v>261</v>
      </c>
      <c r="V954" s="8"/>
      <c r="W954" s="8" t="s">
        <v>306</v>
      </c>
      <c r="X954" s="8" t="s">
        <v>98</v>
      </c>
      <c r="Y954" s="8" t="s">
        <v>23</v>
      </c>
    </row>
    <row r="955" spans="1:25" hidden="1" x14ac:dyDescent="0.25">
      <c r="A955" s="283" t="s">
        <v>247</v>
      </c>
      <c r="B955" s="260">
        <v>45782</v>
      </c>
      <c r="C955" s="261" t="s">
        <v>508</v>
      </c>
      <c r="D955" s="261"/>
      <c r="E955" s="262">
        <v>8543.0300000000007</v>
      </c>
      <c r="F955" s="262">
        <v>0</v>
      </c>
      <c r="G955" s="285">
        <f>Tabla3[[#This Row],[INGRESOS]]-Tabla3[[#This Row],[EGRESOS]]</f>
        <v>-8543.0300000000007</v>
      </c>
      <c r="H955" s="137">
        <v>-21351417.32</v>
      </c>
      <c r="I955" s="135">
        <v>1170</v>
      </c>
      <c r="J955" s="136">
        <f>Tabla3[[#This Row],[EGRESOS]]/Tabla3[[#This Row],[TC]]</f>
        <v>7.3017350427350429</v>
      </c>
      <c r="K955" s="136">
        <f>Tabla3[[#This Row],[INGRESOS]]/Tabla3[[#This Row],[TC]]</f>
        <v>0</v>
      </c>
      <c r="L955" s="8" t="s">
        <v>303</v>
      </c>
      <c r="M955" s="8" t="s">
        <v>304</v>
      </c>
      <c r="N955" s="8" t="s">
        <v>20</v>
      </c>
      <c r="O955" s="8" t="s">
        <v>184</v>
      </c>
      <c r="P955" s="8" t="s">
        <v>187</v>
      </c>
      <c r="Q955" s="8" t="s">
        <v>188</v>
      </c>
      <c r="R955" s="8" t="s">
        <v>334</v>
      </c>
      <c r="S955" s="8"/>
      <c r="T955" s="8"/>
      <c r="U955" s="8" t="s">
        <v>261</v>
      </c>
      <c r="V955" s="8"/>
      <c r="W955" s="8" t="s">
        <v>306</v>
      </c>
      <c r="X955" s="8" t="s">
        <v>98</v>
      </c>
      <c r="Y955" s="8" t="s">
        <v>23</v>
      </c>
    </row>
    <row r="956" spans="1:25" hidden="1" x14ac:dyDescent="0.25">
      <c r="A956" s="283" t="s">
        <v>247</v>
      </c>
      <c r="B956" s="260">
        <v>45782</v>
      </c>
      <c r="C956" s="261" t="s">
        <v>518</v>
      </c>
      <c r="D956" s="261"/>
      <c r="E956" s="262">
        <v>569535.56000000006</v>
      </c>
      <c r="F956" s="262">
        <v>0</v>
      </c>
      <c r="G956" s="285">
        <f>Tabla3[[#This Row],[INGRESOS]]-Tabla3[[#This Row],[EGRESOS]]</f>
        <v>-569535.56000000006</v>
      </c>
      <c r="H956" s="137">
        <v>-21920952.879999999</v>
      </c>
      <c r="I956" s="135">
        <v>1170</v>
      </c>
      <c r="J956" s="136">
        <f>Tabla3[[#This Row],[EGRESOS]]/Tabla3[[#This Row],[TC]]</f>
        <v>486.78252991452996</v>
      </c>
      <c r="K956" s="136">
        <f>Tabla3[[#This Row],[INGRESOS]]/Tabla3[[#This Row],[TC]]</f>
        <v>0</v>
      </c>
      <c r="L956" s="8" t="s">
        <v>303</v>
      </c>
      <c r="M956" s="8" t="s">
        <v>304</v>
      </c>
      <c r="N956" s="8" t="s">
        <v>20</v>
      </c>
      <c r="O956" s="8" t="s">
        <v>184</v>
      </c>
      <c r="P956" s="8" t="s">
        <v>189</v>
      </c>
      <c r="Q956" s="8" t="s">
        <v>190</v>
      </c>
      <c r="R956" s="8"/>
      <c r="S956" s="8"/>
      <c r="T956" s="8"/>
      <c r="U956" s="8" t="s">
        <v>261</v>
      </c>
      <c r="V956" s="8"/>
      <c r="W956" s="8" t="s">
        <v>306</v>
      </c>
      <c r="X956" s="8" t="s">
        <v>98</v>
      </c>
      <c r="Y956" s="8" t="s">
        <v>23</v>
      </c>
    </row>
    <row r="957" spans="1:25" hidden="1" x14ac:dyDescent="0.25">
      <c r="A957" s="283" t="s">
        <v>247</v>
      </c>
      <c r="B957" s="260">
        <v>45782</v>
      </c>
      <c r="C957" s="261" t="s">
        <v>507</v>
      </c>
      <c r="D957" s="261"/>
      <c r="E957" s="262">
        <v>4513.58</v>
      </c>
      <c r="F957" s="262">
        <v>0</v>
      </c>
      <c r="G957" s="285">
        <f>Tabla3[[#This Row],[INGRESOS]]-Tabla3[[#This Row],[EGRESOS]]</f>
        <v>-4513.58</v>
      </c>
      <c r="H957" s="137">
        <v>-21925466.460000001</v>
      </c>
      <c r="I957" s="135">
        <v>1170</v>
      </c>
      <c r="J957" s="136">
        <f>Tabla3[[#This Row],[EGRESOS]]/Tabla3[[#This Row],[TC]]</f>
        <v>3.8577606837606835</v>
      </c>
      <c r="K957" s="136">
        <f>Tabla3[[#This Row],[INGRESOS]]/Tabla3[[#This Row],[TC]]</f>
        <v>0</v>
      </c>
      <c r="L957" s="8" t="s">
        <v>303</v>
      </c>
      <c r="M957" s="8" t="s">
        <v>304</v>
      </c>
      <c r="N957" s="8" t="s">
        <v>20</v>
      </c>
      <c r="O957" s="8" t="s">
        <v>184</v>
      </c>
      <c r="P957" s="8" t="s">
        <v>187</v>
      </c>
      <c r="Q957" s="8" t="s">
        <v>188</v>
      </c>
      <c r="R957" s="8" t="s">
        <v>308</v>
      </c>
      <c r="S957" s="8"/>
      <c r="T957" s="8"/>
      <c r="U957" s="8" t="s">
        <v>261</v>
      </c>
      <c r="V957" s="8"/>
      <c r="W957" s="8" t="s">
        <v>306</v>
      </c>
      <c r="X957" s="8" t="s">
        <v>98</v>
      </c>
      <c r="Y957" s="8" t="s">
        <v>23</v>
      </c>
    </row>
    <row r="958" spans="1:25" hidden="1" x14ac:dyDescent="0.25">
      <c r="A958" s="283" t="s">
        <v>247</v>
      </c>
      <c r="B958" s="260">
        <v>45782</v>
      </c>
      <c r="C958" s="261" t="s">
        <v>508</v>
      </c>
      <c r="D958" s="261"/>
      <c r="E958" s="262">
        <v>644.79999999999995</v>
      </c>
      <c r="F958" s="262">
        <v>0</v>
      </c>
      <c r="G958" s="285">
        <f>Tabla3[[#This Row],[INGRESOS]]-Tabla3[[#This Row],[EGRESOS]]</f>
        <v>-644.79999999999995</v>
      </c>
      <c r="H958" s="137">
        <v>-21926111.260000002</v>
      </c>
      <c r="I958" s="135">
        <v>1170</v>
      </c>
      <c r="J958" s="136">
        <f>Tabla3[[#This Row],[EGRESOS]]/Tabla3[[#This Row],[TC]]</f>
        <v>0.55111111111111111</v>
      </c>
      <c r="K958" s="136">
        <f>Tabla3[[#This Row],[INGRESOS]]/Tabla3[[#This Row],[TC]]</f>
        <v>0</v>
      </c>
      <c r="L958" s="8" t="s">
        <v>303</v>
      </c>
      <c r="M958" s="8" t="s">
        <v>304</v>
      </c>
      <c r="N958" s="8" t="s">
        <v>20</v>
      </c>
      <c r="O958" s="8" t="s">
        <v>184</v>
      </c>
      <c r="P958" s="8" t="s">
        <v>187</v>
      </c>
      <c r="Q958" s="8" t="s">
        <v>188</v>
      </c>
      <c r="R958" s="8" t="s">
        <v>334</v>
      </c>
      <c r="S958" s="8"/>
      <c r="T958" s="8"/>
      <c r="U958" s="8" t="s">
        <v>261</v>
      </c>
      <c r="V958" s="8"/>
      <c r="W958" s="8" t="s">
        <v>306</v>
      </c>
      <c r="X958" s="8" t="s">
        <v>98</v>
      </c>
      <c r="Y958" s="8" t="s">
        <v>23</v>
      </c>
    </row>
    <row r="959" spans="1:25" hidden="1" x14ac:dyDescent="0.25">
      <c r="A959" s="283" t="s">
        <v>247</v>
      </c>
      <c r="B959" s="260">
        <v>45782</v>
      </c>
      <c r="C959" s="261" t="s">
        <v>520</v>
      </c>
      <c r="D959" s="261"/>
      <c r="E959" s="262">
        <v>42986.44</v>
      </c>
      <c r="F959" s="262">
        <v>0</v>
      </c>
      <c r="G959" s="285">
        <f>Tabla3[[#This Row],[INGRESOS]]-Tabla3[[#This Row],[EGRESOS]]</f>
        <v>-42986.44</v>
      </c>
      <c r="H959" s="137">
        <v>-21969097.699999999</v>
      </c>
      <c r="I959" s="135">
        <v>1170</v>
      </c>
      <c r="J959" s="136">
        <f>Tabla3[[#This Row],[EGRESOS]]/Tabla3[[#This Row],[TC]]</f>
        <v>36.740547008547011</v>
      </c>
      <c r="K959" s="136">
        <f>Tabla3[[#This Row],[INGRESOS]]/Tabla3[[#This Row],[TC]]</f>
        <v>0</v>
      </c>
      <c r="L959" s="8" t="s">
        <v>303</v>
      </c>
      <c r="M959" s="8" t="s">
        <v>304</v>
      </c>
      <c r="N959" s="8" t="s">
        <v>20</v>
      </c>
      <c r="O959" s="8" t="s">
        <v>184</v>
      </c>
      <c r="P959" s="8" t="s">
        <v>189</v>
      </c>
      <c r="Q959" s="8" t="s">
        <v>190</v>
      </c>
      <c r="R959" s="8"/>
      <c r="S959" s="8"/>
      <c r="T959" s="8"/>
      <c r="U959" s="8" t="s">
        <v>261</v>
      </c>
      <c r="V959" s="8"/>
      <c r="W959" s="8" t="s">
        <v>306</v>
      </c>
      <c r="X959" s="8" t="s">
        <v>98</v>
      </c>
      <c r="Y959" s="8" t="s">
        <v>23</v>
      </c>
    </row>
    <row r="960" spans="1:25" x14ac:dyDescent="0.25">
      <c r="A960" s="283" t="s">
        <v>247</v>
      </c>
      <c r="B960" s="260">
        <v>45782</v>
      </c>
      <c r="C960" s="261" t="s">
        <v>521</v>
      </c>
      <c r="D960" s="261" t="s">
        <v>677</v>
      </c>
      <c r="E960" s="262">
        <v>1500000</v>
      </c>
      <c r="F960" s="262">
        <v>0</v>
      </c>
      <c r="G960" s="285">
        <f>Tabla3[[#This Row],[INGRESOS]]-Tabla3[[#This Row],[EGRESOS]]</f>
        <v>-1500000</v>
      </c>
      <c r="H960" s="137">
        <v>-23469097.699999999</v>
      </c>
      <c r="I960" s="135">
        <v>1170</v>
      </c>
      <c r="J960" s="136">
        <f>Tabla3[[#This Row],[EGRESOS]]/Tabla3[[#This Row],[TC]]</f>
        <v>1282.051282051282</v>
      </c>
      <c r="K960" s="136">
        <f>Tabla3[[#This Row],[INGRESOS]]/Tabla3[[#This Row],[TC]]</f>
        <v>0</v>
      </c>
      <c r="L960" s="8" t="s">
        <v>303</v>
      </c>
      <c r="M960" s="8" t="s">
        <v>304</v>
      </c>
      <c r="N960" s="8" t="s">
        <v>20</v>
      </c>
      <c r="O960" s="8" t="s">
        <v>742</v>
      </c>
      <c r="P960" s="8" t="s">
        <v>220</v>
      </c>
      <c r="Q960" s="8" t="s">
        <v>231</v>
      </c>
      <c r="R960" s="8" t="s">
        <v>142</v>
      </c>
      <c r="S960" s="8" t="s">
        <v>625</v>
      </c>
      <c r="T960" s="8"/>
      <c r="U960" s="8" t="s">
        <v>258</v>
      </c>
      <c r="V960" s="8"/>
      <c r="W960" s="8" t="s">
        <v>306</v>
      </c>
      <c r="X960" s="8" t="s">
        <v>29</v>
      </c>
      <c r="Y960" s="8" t="s">
        <v>23</v>
      </c>
    </row>
    <row r="961" spans="1:25" hidden="1" x14ac:dyDescent="0.25">
      <c r="A961" s="283" t="s">
        <v>247</v>
      </c>
      <c r="B961" s="260">
        <v>45782</v>
      </c>
      <c r="C961" s="261" t="s">
        <v>507</v>
      </c>
      <c r="D961" s="261"/>
      <c r="E961" s="262">
        <v>3024</v>
      </c>
      <c r="F961" s="262">
        <v>0</v>
      </c>
      <c r="G961" s="285">
        <f>Tabla3[[#This Row],[INGRESOS]]-Tabla3[[#This Row],[EGRESOS]]</f>
        <v>-3024</v>
      </c>
      <c r="H961" s="137">
        <v>-23472121.699999999</v>
      </c>
      <c r="I961" s="135">
        <v>1170</v>
      </c>
      <c r="J961" s="136">
        <f>Tabla3[[#This Row],[EGRESOS]]/Tabla3[[#This Row],[TC]]</f>
        <v>2.5846153846153848</v>
      </c>
      <c r="K961" s="136">
        <f>Tabla3[[#This Row],[INGRESOS]]/Tabla3[[#This Row],[TC]]</f>
        <v>0</v>
      </c>
      <c r="L961" s="8" t="s">
        <v>303</v>
      </c>
      <c r="M961" s="8" t="s">
        <v>304</v>
      </c>
      <c r="N961" s="8" t="s">
        <v>20</v>
      </c>
      <c r="O961" s="8" t="s">
        <v>184</v>
      </c>
      <c r="P961" s="8" t="s">
        <v>187</v>
      </c>
      <c r="Q961" s="8" t="s">
        <v>188</v>
      </c>
      <c r="R961" s="8" t="s">
        <v>308</v>
      </c>
      <c r="S961" s="8"/>
      <c r="T961" s="8"/>
      <c r="U961" s="8" t="s">
        <v>261</v>
      </c>
      <c r="V961" s="8"/>
      <c r="W961" s="8" t="s">
        <v>306</v>
      </c>
      <c r="X961" s="8" t="s">
        <v>98</v>
      </c>
      <c r="Y961" s="8" t="s">
        <v>23</v>
      </c>
    </row>
    <row r="962" spans="1:25" hidden="1" x14ac:dyDescent="0.25">
      <c r="A962" s="283" t="s">
        <v>247</v>
      </c>
      <c r="B962" s="260">
        <v>45782</v>
      </c>
      <c r="C962" s="261" t="s">
        <v>508</v>
      </c>
      <c r="D962" s="261"/>
      <c r="E962" s="262">
        <v>432</v>
      </c>
      <c r="F962" s="262">
        <v>0</v>
      </c>
      <c r="G962" s="285">
        <f>Tabla3[[#This Row],[INGRESOS]]-Tabla3[[#This Row],[EGRESOS]]</f>
        <v>-432</v>
      </c>
      <c r="H962" s="137">
        <v>-23472553.699999999</v>
      </c>
      <c r="I962" s="135">
        <v>1170</v>
      </c>
      <c r="J962" s="136">
        <f>Tabla3[[#This Row],[EGRESOS]]/Tabla3[[#This Row],[TC]]</f>
        <v>0.36923076923076925</v>
      </c>
      <c r="K962" s="136">
        <f>Tabla3[[#This Row],[INGRESOS]]/Tabla3[[#This Row],[TC]]</f>
        <v>0</v>
      </c>
      <c r="L962" s="8" t="s">
        <v>303</v>
      </c>
      <c r="M962" s="8" t="s">
        <v>304</v>
      </c>
      <c r="N962" s="8" t="s">
        <v>20</v>
      </c>
      <c r="O962" s="8" t="s">
        <v>184</v>
      </c>
      <c r="P962" s="8" t="s">
        <v>187</v>
      </c>
      <c r="Q962" s="8" t="s">
        <v>188</v>
      </c>
      <c r="R962" s="8" t="s">
        <v>334</v>
      </c>
      <c r="S962" s="8"/>
      <c r="T962" s="8"/>
      <c r="U962" s="8" t="s">
        <v>261</v>
      </c>
      <c r="V962" s="8"/>
      <c r="W962" s="8" t="s">
        <v>306</v>
      </c>
      <c r="X962" s="8" t="s">
        <v>98</v>
      </c>
      <c r="Y962" s="8" t="s">
        <v>23</v>
      </c>
    </row>
    <row r="963" spans="1:25" hidden="1" x14ac:dyDescent="0.25">
      <c r="A963" s="283" t="s">
        <v>247</v>
      </c>
      <c r="B963" s="260">
        <v>45782</v>
      </c>
      <c r="C963" s="261" t="s">
        <v>536</v>
      </c>
      <c r="D963" s="261"/>
      <c r="E963" s="262">
        <v>14400</v>
      </c>
      <c r="F963" s="262">
        <v>0</v>
      </c>
      <c r="G963" s="285">
        <f>Tabla3[[#This Row],[INGRESOS]]-Tabla3[[#This Row],[EGRESOS]]</f>
        <v>-14400</v>
      </c>
      <c r="H963" s="137">
        <v>-23486953.699999999</v>
      </c>
      <c r="I963" s="135">
        <v>1170</v>
      </c>
      <c r="J963" s="136">
        <f>Tabla3[[#This Row],[EGRESOS]]/Tabla3[[#This Row],[TC]]</f>
        <v>12.307692307692308</v>
      </c>
      <c r="K963" s="136">
        <f>Tabla3[[#This Row],[INGRESOS]]/Tabla3[[#This Row],[TC]]</f>
        <v>0</v>
      </c>
      <c r="L963" s="8" t="s">
        <v>303</v>
      </c>
      <c r="M963" s="8" t="s">
        <v>304</v>
      </c>
      <c r="N963" s="8" t="s">
        <v>20</v>
      </c>
      <c r="O963" s="8" t="s">
        <v>184</v>
      </c>
      <c r="P963" s="8" t="s">
        <v>185</v>
      </c>
      <c r="Q963" s="8" t="s">
        <v>186</v>
      </c>
      <c r="R963" s="8"/>
      <c r="S963" s="8"/>
      <c r="T963" s="8"/>
      <c r="U963" s="8" t="s">
        <v>261</v>
      </c>
      <c r="V963" s="8"/>
      <c r="W963" s="8" t="s">
        <v>306</v>
      </c>
      <c r="X963" s="8" t="s">
        <v>98</v>
      </c>
      <c r="Y963" s="8" t="s">
        <v>23</v>
      </c>
    </row>
    <row r="964" spans="1:25" hidden="1" x14ac:dyDescent="0.25">
      <c r="A964" s="283" t="s">
        <v>247</v>
      </c>
      <c r="B964" s="260">
        <v>45782</v>
      </c>
      <c r="C964" s="261" t="s">
        <v>590</v>
      </c>
      <c r="D964" s="261"/>
      <c r="E964" s="262">
        <v>5914.07</v>
      </c>
      <c r="F964" s="262">
        <v>0</v>
      </c>
      <c r="G964" s="285">
        <f>Tabla3[[#This Row],[INGRESOS]]-Tabla3[[#This Row],[EGRESOS]]</f>
        <v>-5914.07</v>
      </c>
      <c r="H964" s="137">
        <v>-23492867.77</v>
      </c>
      <c r="I964" s="135">
        <v>1170</v>
      </c>
      <c r="J964" s="136">
        <f>Tabla3[[#This Row],[EGRESOS]]/Tabla3[[#This Row],[TC]]</f>
        <v>5.0547606837606835</v>
      </c>
      <c r="K964" s="136">
        <f>Tabla3[[#This Row],[INGRESOS]]/Tabla3[[#This Row],[TC]]</f>
        <v>0</v>
      </c>
      <c r="L964" s="8" t="s">
        <v>303</v>
      </c>
      <c r="M964" s="8" t="s">
        <v>304</v>
      </c>
      <c r="N964" s="8" t="s">
        <v>20</v>
      </c>
      <c r="O964" s="8" t="s">
        <v>184</v>
      </c>
      <c r="P964" s="8" t="s">
        <v>187</v>
      </c>
      <c r="Q964" s="8" t="s">
        <v>188</v>
      </c>
      <c r="R964" s="8" t="s">
        <v>339</v>
      </c>
      <c r="S964" s="8"/>
      <c r="T964" s="8"/>
      <c r="U964" s="8" t="s">
        <v>261</v>
      </c>
      <c r="V964" s="8"/>
      <c r="W964" s="8" t="s">
        <v>306</v>
      </c>
      <c r="X964" s="8" t="s">
        <v>98</v>
      </c>
      <c r="Y964" s="8" t="s">
        <v>23</v>
      </c>
    </row>
    <row r="965" spans="1:25" hidden="1" x14ac:dyDescent="0.25">
      <c r="A965" s="283" t="s">
        <v>247</v>
      </c>
      <c r="B965" s="260">
        <v>45782</v>
      </c>
      <c r="C965" s="261" t="s">
        <v>590</v>
      </c>
      <c r="D965" s="261"/>
      <c r="E965" s="262">
        <v>876.39</v>
      </c>
      <c r="F965" s="262">
        <v>0</v>
      </c>
      <c r="G965" s="285">
        <f>Tabla3[[#This Row],[INGRESOS]]-Tabla3[[#This Row],[EGRESOS]]</f>
        <v>-876.39</v>
      </c>
      <c r="H965" s="137">
        <v>-23493744.16</v>
      </c>
      <c r="I965" s="135">
        <v>1170</v>
      </c>
      <c r="J965" s="136">
        <f>Tabla3[[#This Row],[EGRESOS]]/Tabla3[[#This Row],[TC]]</f>
        <v>0.74905128205128202</v>
      </c>
      <c r="K965" s="136">
        <f>Tabla3[[#This Row],[INGRESOS]]/Tabla3[[#This Row],[TC]]</f>
        <v>0</v>
      </c>
      <c r="L965" s="8" t="s">
        <v>303</v>
      </c>
      <c r="M965" s="8" t="s">
        <v>304</v>
      </c>
      <c r="N965" s="8" t="s">
        <v>20</v>
      </c>
      <c r="O965" s="8" t="s">
        <v>184</v>
      </c>
      <c r="P965" s="8" t="s">
        <v>187</v>
      </c>
      <c r="Q965" s="8" t="s">
        <v>188</v>
      </c>
      <c r="R965" s="8" t="s">
        <v>339</v>
      </c>
      <c r="S965" s="8"/>
      <c r="T965" s="8"/>
      <c r="U965" s="8" t="s">
        <v>261</v>
      </c>
      <c r="V965" s="8"/>
      <c r="W965" s="8" t="s">
        <v>306</v>
      </c>
      <c r="X965" s="8" t="s">
        <v>98</v>
      </c>
      <c r="Y965" s="8" t="s">
        <v>23</v>
      </c>
    </row>
    <row r="966" spans="1:25" hidden="1" x14ac:dyDescent="0.25">
      <c r="A966" s="283" t="s">
        <v>247</v>
      </c>
      <c r="B966" s="260">
        <v>45782</v>
      </c>
      <c r="C966" s="261" t="s">
        <v>590</v>
      </c>
      <c r="D966" s="261"/>
      <c r="E966" s="262">
        <v>14999.88</v>
      </c>
      <c r="F966" s="262">
        <v>0</v>
      </c>
      <c r="G966" s="285">
        <f>Tabla3[[#This Row],[INGRESOS]]-Tabla3[[#This Row],[EGRESOS]]</f>
        <v>-14999.88</v>
      </c>
      <c r="H966" s="137">
        <v>-23508744.039999999</v>
      </c>
      <c r="I966" s="135">
        <v>1170</v>
      </c>
      <c r="J966" s="136">
        <f>Tabla3[[#This Row],[EGRESOS]]/Tabla3[[#This Row],[TC]]</f>
        <v>12.820410256410256</v>
      </c>
      <c r="K966" s="136">
        <f>Tabla3[[#This Row],[INGRESOS]]/Tabla3[[#This Row],[TC]]</f>
        <v>0</v>
      </c>
      <c r="L966" s="8" t="s">
        <v>303</v>
      </c>
      <c r="M966" s="8" t="s">
        <v>304</v>
      </c>
      <c r="N966" s="8" t="s">
        <v>20</v>
      </c>
      <c r="O966" s="8" t="s">
        <v>184</v>
      </c>
      <c r="P966" s="8" t="s">
        <v>187</v>
      </c>
      <c r="Q966" s="8" t="s">
        <v>188</v>
      </c>
      <c r="R966" s="8" t="s">
        <v>339</v>
      </c>
      <c r="S966" s="8"/>
      <c r="T966" s="8"/>
      <c r="U966" s="8" t="s">
        <v>261</v>
      </c>
      <c r="V966" s="8"/>
      <c r="W966" s="8" t="s">
        <v>306</v>
      </c>
      <c r="X966" s="8" t="s">
        <v>98</v>
      </c>
      <c r="Y966" s="8" t="s">
        <v>23</v>
      </c>
    </row>
    <row r="967" spans="1:25" hidden="1" x14ac:dyDescent="0.25">
      <c r="A967" s="283" t="s">
        <v>247</v>
      </c>
      <c r="B967" s="260">
        <v>45782</v>
      </c>
      <c r="C967" s="261" t="s">
        <v>637</v>
      </c>
      <c r="D967" s="261"/>
      <c r="E967" s="262">
        <v>14756.65</v>
      </c>
      <c r="F967" s="262">
        <v>0</v>
      </c>
      <c r="G967" s="285">
        <f>Tabla3[[#This Row],[INGRESOS]]-Tabla3[[#This Row],[EGRESOS]]</f>
        <v>-14756.65</v>
      </c>
      <c r="H967" s="137">
        <v>-23523500.690000001</v>
      </c>
      <c r="I967" s="135">
        <v>1170</v>
      </c>
      <c r="J967" s="136">
        <f>Tabla3[[#This Row],[EGRESOS]]/Tabla3[[#This Row],[TC]]</f>
        <v>12.612521367521367</v>
      </c>
      <c r="K967" s="136">
        <f>Tabla3[[#This Row],[INGRESOS]]/Tabla3[[#This Row],[TC]]</f>
        <v>0</v>
      </c>
      <c r="L967" s="8" t="s">
        <v>303</v>
      </c>
      <c r="M967" s="8" t="s">
        <v>304</v>
      </c>
      <c r="N967" s="8" t="s">
        <v>20</v>
      </c>
      <c r="O967" s="8" t="s">
        <v>184</v>
      </c>
      <c r="P967" s="8" t="s">
        <v>187</v>
      </c>
      <c r="Q967" s="8" t="s">
        <v>188</v>
      </c>
      <c r="R967" s="8" t="s">
        <v>317</v>
      </c>
      <c r="S967" s="8"/>
      <c r="T967" s="8"/>
      <c r="U967" s="8" t="s">
        <v>261</v>
      </c>
      <c r="V967" s="8"/>
      <c r="W967" s="8" t="s">
        <v>306</v>
      </c>
      <c r="X967" s="8" t="s">
        <v>98</v>
      </c>
      <c r="Y967" s="8" t="s">
        <v>23</v>
      </c>
    </row>
    <row r="968" spans="1:25" x14ac:dyDescent="0.25">
      <c r="A968" s="283" t="s">
        <v>247</v>
      </c>
      <c r="B968" s="260">
        <v>45783</v>
      </c>
      <c r="C968" s="261" t="s">
        <v>521</v>
      </c>
      <c r="D968" s="261" t="s">
        <v>678</v>
      </c>
      <c r="E968" s="262">
        <v>497090</v>
      </c>
      <c r="F968" s="262">
        <v>0</v>
      </c>
      <c r="G968" s="285">
        <f>Tabla3[[#This Row],[INGRESOS]]-Tabla3[[#This Row],[EGRESOS]]</f>
        <v>-497090</v>
      </c>
      <c r="H968" s="137">
        <v>-24020590.690000001</v>
      </c>
      <c r="I968" s="135">
        <v>1170</v>
      </c>
      <c r="J968" s="136">
        <f>Tabla3[[#This Row],[EGRESOS]]/Tabla3[[#This Row],[TC]]</f>
        <v>424.86324786324786</v>
      </c>
      <c r="K968" s="136">
        <f>Tabla3[[#This Row],[INGRESOS]]/Tabla3[[#This Row],[TC]]</f>
        <v>0</v>
      </c>
      <c r="L968" s="8" t="s">
        <v>303</v>
      </c>
      <c r="M968" s="8" t="s">
        <v>304</v>
      </c>
      <c r="N968" s="8" t="s">
        <v>20</v>
      </c>
      <c r="O968" s="8" t="s">
        <v>742</v>
      </c>
      <c r="P968" s="8" t="s">
        <v>220</v>
      </c>
      <c r="Q968" s="8" t="s">
        <v>199</v>
      </c>
      <c r="R968" s="8" t="s">
        <v>226</v>
      </c>
      <c r="S968" s="8" t="s">
        <v>548</v>
      </c>
      <c r="T968" s="8" t="s">
        <v>679</v>
      </c>
      <c r="U968" s="8" t="s">
        <v>258</v>
      </c>
      <c r="V968" s="8"/>
      <c r="W968" s="8" t="s">
        <v>306</v>
      </c>
      <c r="X968" s="8" t="s">
        <v>29</v>
      </c>
      <c r="Y968" s="8" t="s">
        <v>23</v>
      </c>
    </row>
    <row r="969" spans="1:25" hidden="1" x14ac:dyDescent="0.25">
      <c r="A969" s="283" t="s">
        <v>247</v>
      </c>
      <c r="B969" s="260">
        <v>45783</v>
      </c>
      <c r="C969" s="261" t="s">
        <v>680</v>
      </c>
      <c r="D969" s="261"/>
      <c r="E969" s="262">
        <v>0</v>
      </c>
      <c r="F969" s="262">
        <v>10000000</v>
      </c>
      <c r="G969" s="285">
        <f>Tabla3[[#This Row],[INGRESOS]]-Tabla3[[#This Row],[EGRESOS]]</f>
        <v>10000000</v>
      </c>
      <c r="H969" s="137">
        <v>-14020590.689999999</v>
      </c>
      <c r="I969" s="135">
        <v>1170</v>
      </c>
      <c r="J969" s="136">
        <f>Tabla3[[#This Row],[EGRESOS]]/Tabla3[[#This Row],[TC]]</f>
        <v>0</v>
      </c>
      <c r="K969" s="136">
        <f>Tabla3[[#This Row],[INGRESOS]]/Tabla3[[#This Row],[TC]]</f>
        <v>8547.0085470085469</v>
      </c>
      <c r="L969" s="8" t="s">
        <v>303</v>
      </c>
      <c r="M969" s="8" t="s">
        <v>304</v>
      </c>
      <c r="N969" s="8" t="s">
        <v>20</v>
      </c>
      <c r="O969" s="8" t="s">
        <v>197</v>
      </c>
      <c r="P969" s="8" t="s">
        <v>198</v>
      </c>
      <c r="Q969" s="8" t="s">
        <v>201</v>
      </c>
      <c r="R969" s="8" t="s">
        <v>681</v>
      </c>
      <c r="S969" s="8" t="s">
        <v>682</v>
      </c>
      <c r="T969" s="8"/>
      <c r="U969" s="8" t="s">
        <v>269</v>
      </c>
      <c r="V969" s="8"/>
      <c r="W969" s="8" t="s">
        <v>306</v>
      </c>
      <c r="X969" s="8" t="s">
        <v>23</v>
      </c>
      <c r="Y969" s="8" t="s">
        <v>96</v>
      </c>
    </row>
    <row r="970" spans="1:25" hidden="1" x14ac:dyDescent="0.25">
      <c r="A970" s="283" t="s">
        <v>247</v>
      </c>
      <c r="B970" s="260">
        <v>45783</v>
      </c>
      <c r="C970" s="261" t="s">
        <v>507</v>
      </c>
      <c r="D970" s="261"/>
      <c r="E970" s="262">
        <v>3024</v>
      </c>
      <c r="F970" s="262">
        <v>0</v>
      </c>
      <c r="G970" s="285">
        <f>Tabla3[[#This Row],[INGRESOS]]-Tabla3[[#This Row],[EGRESOS]]</f>
        <v>-3024</v>
      </c>
      <c r="H970" s="137">
        <v>-14023614.689999999</v>
      </c>
      <c r="I970" s="135">
        <v>1170</v>
      </c>
      <c r="J970" s="136">
        <f>Tabla3[[#This Row],[EGRESOS]]/Tabla3[[#This Row],[TC]]</f>
        <v>2.5846153846153848</v>
      </c>
      <c r="K970" s="136">
        <f>Tabla3[[#This Row],[INGRESOS]]/Tabla3[[#This Row],[TC]]</f>
        <v>0</v>
      </c>
      <c r="L970" s="8" t="s">
        <v>303</v>
      </c>
      <c r="M970" s="8" t="s">
        <v>304</v>
      </c>
      <c r="N970" s="8" t="s">
        <v>20</v>
      </c>
      <c r="O970" s="8" t="s">
        <v>184</v>
      </c>
      <c r="P970" s="8" t="s">
        <v>187</v>
      </c>
      <c r="Q970" s="8" t="s">
        <v>188</v>
      </c>
      <c r="R970" s="8" t="s">
        <v>308</v>
      </c>
      <c r="S970" s="8"/>
      <c r="T970" s="8"/>
      <c r="U970" s="8" t="s">
        <v>261</v>
      </c>
      <c r="V970" s="8"/>
      <c r="W970" s="8" t="s">
        <v>306</v>
      </c>
      <c r="X970" s="8" t="s">
        <v>98</v>
      </c>
      <c r="Y970" s="8" t="s">
        <v>23</v>
      </c>
    </row>
    <row r="971" spans="1:25" hidden="1" x14ac:dyDescent="0.25">
      <c r="A971" s="283" t="s">
        <v>247</v>
      </c>
      <c r="B971" s="260">
        <v>45783</v>
      </c>
      <c r="C971" s="261" t="s">
        <v>508</v>
      </c>
      <c r="D971" s="261"/>
      <c r="E971" s="262">
        <v>432</v>
      </c>
      <c r="F971" s="262">
        <v>0</v>
      </c>
      <c r="G971" s="285">
        <f>Tabla3[[#This Row],[INGRESOS]]-Tabla3[[#This Row],[EGRESOS]]</f>
        <v>-432</v>
      </c>
      <c r="H971" s="137">
        <v>-14024046.689999999</v>
      </c>
      <c r="I971" s="135">
        <v>1170</v>
      </c>
      <c r="J971" s="136">
        <f>Tabla3[[#This Row],[EGRESOS]]/Tabla3[[#This Row],[TC]]</f>
        <v>0.36923076923076925</v>
      </c>
      <c r="K971" s="136">
        <f>Tabla3[[#This Row],[INGRESOS]]/Tabla3[[#This Row],[TC]]</f>
        <v>0</v>
      </c>
      <c r="L971" s="8" t="s">
        <v>303</v>
      </c>
      <c r="M971" s="8" t="s">
        <v>304</v>
      </c>
      <c r="N971" s="8" t="s">
        <v>20</v>
      </c>
      <c r="O971" s="8" t="s">
        <v>184</v>
      </c>
      <c r="P971" s="8" t="s">
        <v>187</v>
      </c>
      <c r="Q971" s="8" t="s">
        <v>188</v>
      </c>
      <c r="R971" s="8" t="s">
        <v>334</v>
      </c>
      <c r="S971" s="8"/>
      <c r="T971" s="8"/>
      <c r="U971" s="8" t="s">
        <v>261</v>
      </c>
      <c r="V971" s="8"/>
      <c r="W971" s="8" t="s">
        <v>306</v>
      </c>
      <c r="X971" s="8" t="s">
        <v>98</v>
      </c>
      <c r="Y971" s="8" t="s">
        <v>23</v>
      </c>
    </row>
    <row r="972" spans="1:25" hidden="1" x14ac:dyDescent="0.25">
      <c r="A972" s="283" t="s">
        <v>247</v>
      </c>
      <c r="B972" s="260">
        <v>45783</v>
      </c>
      <c r="C972" s="261" t="s">
        <v>536</v>
      </c>
      <c r="D972" s="261"/>
      <c r="E972" s="262">
        <v>14400</v>
      </c>
      <c r="F972" s="262">
        <v>0</v>
      </c>
      <c r="G972" s="285">
        <f>Tabla3[[#This Row],[INGRESOS]]-Tabla3[[#This Row],[EGRESOS]]</f>
        <v>-14400</v>
      </c>
      <c r="H972" s="137">
        <v>-14038446.689999999</v>
      </c>
      <c r="I972" s="135">
        <v>1170</v>
      </c>
      <c r="J972" s="136">
        <f>Tabla3[[#This Row],[EGRESOS]]/Tabla3[[#This Row],[TC]]</f>
        <v>12.307692307692308</v>
      </c>
      <c r="K972" s="136">
        <f>Tabla3[[#This Row],[INGRESOS]]/Tabla3[[#This Row],[TC]]</f>
        <v>0</v>
      </c>
      <c r="L972" s="8" t="s">
        <v>303</v>
      </c>
      <c r="M972" s="8" t="s">
        <v>304</v>
      </c>
      <c r="N972" s="8" t="s">
        <v>20</v>
      </c>
      <c r="O972" s="8" t="s">
        <v>184</v>
      </c>
      <c r="P972" s="8" t="s">
        <v>185</v>
      </c>
      <c r="Q972" s="8" t="s">
        <v>186</v>
      </c>
      <c r="R972" s="8"/>
      <c r="S972" s="8"/>
      <c r="T972" s="8"/>
      <c r="U972" s="8" t="s">
        <v>261</v>
      </c>
      <c r="V972" s="8"/>
      <c r="W972" s="8" t="s">
        <v>306</v>
      </c>
      <c r="X972" s="8" t="s">
        <v>98</v>
      </c>
      <c r="Y972" s="8" t="s">
        <v>23</v>
      </c>
    </row>
    <row r="973" spans="1:25" hidden="1" x14ac:dyDescent="0.25">
      <c r="A973" s="380" t="s">
        <v>247</v>
      </c>
      <c r="B973" s="381">
        <v>45783</v>
      </c>
      <c r="C973" s="382" t="s">
        <v>561</v>
      </c>
      <c r="D973" s="382" t="s">
        <v>683</v>
      </c>
      <c r="E973" s="262">
        <v>1356000</v>
      </c>
      <c r="F973" s="383">
        <v>0</v>
      </c>
      <c r="G973" s="384">
        <f>Tabla3[[#This Row],[INGRESOS]]-Tabla3[[#This Row],[EGRESOS]]</f>
        <v>-1356000</v>
      </c>
      <c r="H973" s="374">
        <v>-15394446.689999999</v>
      </c>
      <c r="I973" s="383">
        <v>1170</v>
      </c>
      <c r="J973" s="385">
        <f>Tabla3[[#This Row],[EGRESOS]]/Tabla3[[#This Row],[TC]]</f>
        <v>1158.9743589743589</v>
      </c>
      <c r="K973" s="385">
        <f>Tabla3[[#This Row],[INGRESOS]]/Tabla3[[#This Row],[TC]]</f>
        <v>0</v>
      </c>
      <c r="L973" s="382" t="s">
        <v>303</v>
      </c>
      <c r="M973" s="382" t="s">
        <v>304</v>
      </c>
      <c r="N973" s="382" t="s">
        <v>20</v>
      </c>
      <c r="O973" s="382" t="s">
        <v>197</v>
      </c>
      <c r="P973" s="382" t="s">
        <v>198</v>
      </c>
      <c r="Q973" s="382" t="s">
        <v>201</v>
      </c>
      <c r="R973" s="382" t="s">
        <v>203</v>
      </c>
      <c r="S973" s="382" t="s">
        <v>526</v>
      </c>
      <c r="T973" s="382" t="s">
        <v>639</v>
      </c>
      <c r="U973" s="382" t="s">
        <v>258</v>
      </c>
      <c r="V973" s="382"/>
      <c r="W973" s="382" t="s">
        <v>306</v>
      </c>
      <c r="X973" s="382" t="s">
        <v>29</v>
      </c>
      <c r="Y973" s="382" t="s">
        <v>23</v>
      </c>
    </row>
    <row r="974" spans="1:25" hidden="1" x14ac:dyDescent="0.25">
      <c r="A974" s="283" t="s">
        <v>247</v>
      </c>
      <c r="B974" s="260">
        <v>45783</v>
      </c>
      <c r="C974" s="261" t="s">
        <v>637</v>
      </c>
      <c r="D974" s="261"/>
      <c r="E974" s="262">
        <v>60000</v>
      </c>
      <c r="F974" s="262">
        <v>0</v>
      </c>
      <c r="G974" s="285">
        <f>Tabla3[[#This Row],[INGRESOS]]-Tabla3[[#This Row],[EGRESOS]]</f>
        <v>-60000</v>
      </c>
      <c r="H974" s="137">
        <v>-15454446.689999999</v>
      </c>
      <c r="I974" s="135">
        <v>1170</v>
      </c>
      <c r="J974" s="136">
        <f>Tabla3[[#This Row],[EGRESOS]]/Tabla3[[#This Row],[TC]]</f>
        <v>51.282051282051285</v>
      </c>
      <c r="K974" s="136">
        <f>Tabla3[[#This Row],[INGRESOS]]/Tabla3[[#This Row],[TC]]</f>
        <v>0</v>
      </c>
      <c r="L974" s="8" t="s">
        <v>303</v>
      </c>
      <c r="M974" s="8" t="s">
        <v>304</v>
      </c>
      <c r="N974" s="8" t="s">
        <v>20</v>
      </c>
      <c r="O974" s="8" t="s">
        <v>184</v>
      </c>
      <c r="P974" s="8" t="s">
        <v>187</v>
      </c>
      <c r="Q974" s="8" t="s">
        <v>188</v>
      </c>
      <c r="R974" s="8" t="s">
        <v>317</v>
      </c>
      <c r="S974" s="8"/>
      <c r="T974" s="8"/>
      <c r="U974" s="8" t="s">
        <v>261</v>
      </c>
      <c r="V974" s="8"/>
      <c r="W974" s="8" t="s">
        <v>306</v>
      </c>
      <c r="X974" s="8" t="s">
        <v>98</v>
      </c>
      <c r="Y974" s="8" t="s">
        <v>23</v>
      </c>
    </row>
    <row r="975" spans="1:25" hidden="1" x14ac:dyDescent="0.25">
      <c r="A975" s="283" t="s">
        <v>247</v>
      </c>
      <c r="B975" s="260">
        <v>45783</v>
      </c>
      <c r="C975" s="261" t="s">
        <v>637</v>
      </c>
      <c r="D975" s="261"/>
      <c r="E975" s="262">
        <v>11225.68</v>
      </c>
      <c r="F975" s="262">
        <v>0</v>
      </c>
      <c r="G975" s="285">
        <f>Tabla3[[#This Row],[INGRESOS]]-Tabla3[[#This Row],[EGRESOS]]</f>
        <v>-11225.68</v>
      </c>
      <c r="H975" s="137">
        <v>-15465672.369999999</v>
      </c>
      <c r="I975" s="135">
        <v>1170</v>
      </c>
      <c r="J975" s="136">
        <f>Tabla3[[#This Row],[EGRESOS]]/Tabla3[[#This Row],[TC]]</f>
        <v>9.5945982905982916</v>
      </c>
      <c r="K975" s="136">
        <f>Tabla3[[#This Row],[INGRESOS]]/Tabla3[[#This Row],[TC]]</f>
        <v>0</v>
      </c>
      <c r="L975" s="8" t="s">
        <v>303</v>
      </c>
      <c r="M975" s="8" t="s">
        <v>304</v>
      </c>
      <c r="N975" s="8" t="s">
        <v>20</v>
      </c>
      <c r="O975" s="8" t="s">
        <v>184</v>
      </c>
      <c r="P975" s="8" t="s">
        <v>187</v>
      </c>
      <c r="Q975" s="8" t="s">
        <v>188</v>
      </c>
      <c r="R975" s="8" t="s">
        <v>317</v>
      </c>
      <c r="S975" s="8"/>
      <c r="T975" s="8"/>
      <c r="U975" s="8" t="s">
        <v>261</v>
      </c>
      <c r="V975" s="8"/>
      <c r="W975" s="8" t="s">
        <v>306</v>
      </c>
      <c r="X975" s="8" t="s">
        <v>98</v>
      </c>
      <c r="Y975" s="8" t="s">
        <v>23</v>
      </c>
    </row>
    <row r="976" spans="1:25" hidden="1" x14ac:dyDescent="0.25">
      <c r="A976" s="283" t="s">
        <v>247</v>
      </c>
      <c r="B976" s="260">
        <v>45784</v>
      </c>
      <c r="C976" s="261" t="s">
        <v>521</v>
      </c>
      <c r="D976" s="261" t="s">
        <v>684</v>
      </c>
      <c r="E976" s="262">
        <v>879500</v>
      </c>
      <c r="F976" s="262">
        <v>0</v>
      </c>
      <c r="G976" s="285">
        <f>Tabla3[[#This Row],[INGRESOS]]-Tabla3[[#This Row],[EGRESOS]]</f>
        <v>-879500</v>
      </c>
      <c r="H976" s="137">
        <v>-16345172.369999999</v>
      </c>
      <c r="I976" s="135">
        <v>1170</v>
      </c>
      <c r="J976" s="136">
        <f>Tabla3[[#This Row],[EGRESOS]]/Tabla3[[#This Row],[TC]]</f>
        <v>751.70940170940173</v>
      </c>
      <c r="K976" s="136">
        <f>Tabla3[[#This Row],[INGRESOS]]/Tabla3[[#This Row],[TC]]</f>
        <v>0</v>
      </c>
      <c r="L976" s="8" t="s">
        <v>303</v>
      </c>
      <c r="M976" s="8" t="s">
        <v>304</v>
      </c>
      <c r="N976" s="8" t="s">
        <v>20</v>
      </c>
      <c r="O976" s="8" t="s">
        <v>204</v>
      </c>
      <c r="P976" s="8" t="s">
        <v>210</v>
      </c>
      <c r="Q976" s="8" t="s">
        <v>230</v>
      </c>
      <c r="R976" s="8"/>
      <c r="S976" s="8" t="s">
        <v>469</v>
      </c>
      <c r="T976" s="8"/>
      <c r="U976" s="8" t="s">
        <v>258</v>
      </c>
      <c r="V976" s="8"/>
      <c r="W976" s="8" t="s">
        <v>306</v>
      </c>
      <c r="X976" s="8" t="s">
        <v>29</v>
      </c>
      <c r="Y976" s="8" t="s">
        <v>23</v>
      </c>
    </row>
    <row r="977" spans="1:25" hidden="1" x14ac:dyDescent="0.25">
      <c r="A977" s="283" t="s">
        <v>247</v>
      </c>
      <c r="B977" s="260">
        <v>45784</v>
      </c>
      <c r="C977" s="261" t="s">
        <v>521</v>
      </c>
      <c r="D977" s="261" t="s">
        <v>685</v>
      </c>
      <c r="E977" s="262">
        <v>1500000</v>
      </c>
      <c r="F977" s="262">
        <v>0</v>
      </c>
      <c r="G977" s="285">
        <f>Tabla3[[#This Row],[INGRESOS]]-Tabla3[[#This Row],[EGRESOS]]</f>
        <v>-1500000</v>
      </c>
      <c r="H977" s="137">
        <v>-17845172.370000001</v>
      </c>
      <c r="I977" s="135">
        <v>1170</v>
      </c>
      <c r="J977" s="136">
        <f>Tabla3[[#This Row],[EGRESOS]]/Tabla3[[#This Row],[TC]]</f>
        <v>1282.051282051282</v>
      </c>
      <c r="K977" s="136">
        <f>Tabla3[[#This Row],[INGRESOS]]/Tabla3[[#This Row],[TC]]</f>
        <v>0</v>
      </c>
      <c r="L977" s="8" t="s">
        <v>303</v>
      </c>
      <c r="M977" s="8" t="s">
        <v>304</v>
      </c>
      <c r="N977" s="8" t="s">
        <v>20</v>
      </c>
      <c r="O977" s="8" t="s">
        <v>197</v>
      </c>
      <c r="P977" s="8" t="s">
        <v>198</v>
      </c>
      <c r="Q977" s="8" t="s">
        <v>201</v>
      </c>
      <c r="R977" s="8" t="s">
        <v>202</v>
      </c>
      <c r="S977" s="8" t="s">
        <v>573</v>
      </c>
      <c r="T977" s="8"/>
      <c r="U977" s="8" t="s">
        <v>260</v>
      </c>
      <c r="V977" s="8"/>
      <c r="W977" s="8" t="s">
        <v>306</v>
      </c>
      <c r="X977" s="8" t="s">
        <v>29</v>
      </c>
      <c r="Y977" s="8" t="s">
        <v>23</v>
      </c>
    </row>
    <row r="978" spans="1:25" hidden="1" x14ac:dyDescent="0.25">
      <c r="A978" s="283" t="s">
        <v>247</v>
      </c>
      <c r="B978" s="260">
        <v>45784</v>
      </c>
      <c r="C978" s="261" t="s">
        <v>323</v>
      </c>
      <c r="D978" s="261"/>
      <c r="E978" s="262">
        <v>50000</v>
      </c>
      <c r="F978" s="262">
        <v>0</v>
      </c>
      <c r="G978" s="285">
        <f>Tabla3[[#This Row],[INGRESOS]]-Tabla3[[#This Row],[EGRESOS]]</f>
        <v>-50000</v>
      </c>
      <c r="H978" s="137">
        <v>-17895172.370000001</v>
      </c>
      <c r="I978" s="135">
        <v>1170</v>
      </c>
      <c r="J978" s="136">
        <f>Tabla3[[#This Row],[EGRESOS]]/Tabla3[[#This Row],[TC]]</f>
        <v>42.735042735042732</v>
      </c>
      <c r="K978" s="136">
        <f>Tabla3[[#This Row],[INGRESOS]]/Tabla3[[#This Row],[TC]]</f>
        <v>0</v>
      </c>
      <c r="L978" s="8" t="s">
        <v>303</v>
      </c>
      <c r="M978" s="8" t="s">
        <v>304</v>
      </c>
      <c r="N978" s="8" t="s">
        <v>20</v>
      </c>
      <c r="O978" s="8" t="s">
        <v>214</v>
      </c>
      <c r="P978" s="8" t="s">
        <v>216</v>
      </c>
      <c r="Q978" s="8" t="s">
        <v>217</v>
      </c>
      <c r="R978" s="8" t="s">
        <v>481</v>
      </c>
      <c r="S978" s="8"/>
      <c r="T978" s="8"/>
      <c r="U978" s="8" t="s">
        <v>262</v>
      </c>
      <c r="V978" s="8"/>
      <c r="W978" s="8"/>
      <c r="X978" s="8"/>
      <c r="Y978" s="8"/>
    </row>
    <row r="979" spans="1:25" hidden="1" x14ac:dyDescent="0.25">
      <c r="A979" s="283" t="s">
        <v>247</v>
      </c>
      <c r="B979" s="260">
        <v>45784</v>
      </c>
      <c r="C979" s="261" t="s">
        <v>323</v>
      </c>
      <c r="D979" s="261"/>
      <c r="E979" s="262">
        <v>350000</v>
      </c>
      <c r="F979" s="262">
        <v>0</v>
      </c>
      <c r="G979" s="285">
        <f>Tabla3[[#This Row],[INGRESOS]]-Tabla3[[#This Row],[EGRESOS]]</f>
        <v>-350000</v>
      </c>
      <c r="H979" s="137">
        <v>-18245172.370000001</v>
      </c>
      <c r="I979" s="135">
        <v>1170</v>
      </c>
      <c r="J979" s="136">
        <f>Tabla3[[#This Row],[EGRESOS]]/Tabla3[[#This Row],[TC]]</f>
        <v>299.14529914529913</v>
      </c>
      <c r="K979" s="136">
        <f>Tabla3[[#This Row],[INGRESOS]]/Tabla3[[#This Row],[TC]]</f>
        <v>0</v>
      </c>
      <c r="L979" s="8" t="s">
        <v>303</v>
      </c>
      <c r="M979" s="8" t="s">
        <v>304</v>
      </c>
      <c r="N979" s="8" t="s">
        <v>20</v>
      </c>
      <c r="O979" s="8" t="s">
        <v>214</v>
      </c>
      <c r="P979" s="8" t="s">
        <v>216</v>
      </c>
      <c r="Q979" s="8" t="s">
        <v>217</v>
      </c>
      <c r="R979" s="8" t="s">
        <v>686</v>
      </c>
      <c r="S979" s="8"/>
      <c r="T979" s="8"/>
      <c r="U979" s="8" t="s">
        <v>262</v>
      </c>
      <c r="V979" s="8"/>
      <c r="W979" s="8"/>
      <c r="X979" s="8"/>
      <c r="Y979" s="8"/>
    </row>
    <row r="980" spans="1:25" hidden="1" x14ac:dyDescent="0.25">
      <c r="A980" s="283" t="s">
        <v>247</v>
      </c>
      <c r="B980" s="260">
        <v>45784</v>
      </c>
      <c r="C980" s="261" t="s">
        <v>571</v>
      </c>
      <c r="D980" s="261"/>
      <c r="E980" s="262">
        <v>121</v>
      </c>
      <c r="F980" s="262">
        <v>0</v>
      </c>
      <c r="G980" s="285">
        <f>Tabla3[[#This Row],[INGRESOS]]-Tabla3[[#This Row],[EGRESOS]]</f>
        <v>-121</v>
      </c>
      <c r="H980" s="137">
        <v>-18245293.370000001</v>
      </c>
      <c r="I980" s="135">
        <v>1170</v>
      </c>
      <c r="J980" s="136">
        <f>Tabla3[[#This Row],[EGRESOS]]/Tabla3[[#This Row],[TC]]</f>
        <v>0.10341880341880341</v>
      </c>
      <c r="K980" s="136">
        <f>Tabla3[[#This Row],[INGRESOS]]/Tabla3[[#This Row],[TC]]</f>
        <v>0</v>
      </c>
      <c r="L980" s="8" t="s">
        <v>303</v>
      </c>
      <c r="M980" s="8" t="s">
        <v>304</v>
      </c>
      <c r="N980" s="8" t="s">
        <v>20</v>
      </c>
      <c r="O980" s="8" t="s">
        <v>184</v>
      </c>
      <c r="P980" s="8" t="s">
        <v>185</v>
      </c>
      <c r="Q980" s="8" t="s">
        <v>186</v>
      </c>
      <c r="R980" s="8"/>
      <c r="S980" s="8"/>
      <c r="T980" s="8"/>
      <c r="U980" s="8" t="s">
        <v>261</v>
      </c>
      <c r="V980" s="8"/>
      <c r="W980" s="8" t="s">
        <v>306</v>
      </c>
      <c r="X980" s="8" t="s">
        <v>98</v>
      </c>
      <c r="Y980" s="8" t="s">
        <v>23</v>
      </c>
    </row>
    <row r="981" spans="1:25" hidden="1" x14ac:dyDescent="0.25">
      <c r="A981" s="283" t="s">
        <v>247</v>
      </c>
      <c r="B981" s="260">
        <v>45784</v>
      </c>
      <c r="C981" s="261" t="s">
        <v>542</v>
      </c>
      <c r="D981" s="261"/>
      <c r="E981" s="262">
        <v>2000000</v>
      </c>
      <c r="F981" s="262">
        <v>0</v>
      </c>
      <c r="G981" s="285">
        <f>Tabla3[[#This Row],[INGRESOS]]-Tabla3[[#This Row],[EGRESOS]]</f>
        <v>-2000000</v>
      </c>
      <c r="H981" s="137">
        <v>-20245293.370000001</v>
      </c>
      <c r="I981" s="135">
        <v>1170</v>
      </c>
      <c r="J981" s="136">
        <f>Tabla3[[#This Row],[EGRESOS]]/Tabla3[[#This Row],[TC]]</f>
        <v>1709.4017094017095</v>
      </c>
      <c r="K981" s="136">
        <f>Tabla3[[#This Row],[INGRESOS]]/Tabla3[[#This Row],[TC]]</f>
        <v>0</v>
      </c>
      <c r="L981" s="8" t="s">
        <v>303</v>
      </c>
      <c r="M981" s="8" t="s">
        <v>304</v>
      </c>
      <c r="N981" s="8" t="s">
        <v>20</v>
      </c>
      <c r="O981" s="8" t="s">
        <v>184</v>
      </c>
      <c r="P981" s="8" t="s">
        <v>194</v>
      </c>
      <c r="Q981" s="8" t="s">
        <v>196</v>
      </c>
      <c r="R981" s="8"/>
      <c r="S981" s="8" t="s">
        <v>311</v>
      </c>
      <c r="T981" s="8"/>
      <c r="U981" s="8" t="s">
        <v>277</v>
      </c>
      <c r="V981" s="8" t="s">
        <v>311</v>
      </c>
      <c r="W981" s="8" t="s">
        <v>306</v>
      </c>
      <c r="X981" s="8" t="s">
        <v>103</v>
      </c>
      <c r="Y981" s="8" t="s">
        <v>23</v>
      </c>
    </row>
    <row r="982" spans="1:25" hidden="1" x14ac:dyDescent="0.25">
      <c r="A982" s="283" t="s">
        <v>247</v>
      </c>
      <c r="B982" s="260">
        <v>45784</v>
      </c>
      <c r="C982" s="261" t="s">
        <v>571</v>
      </c>
      <c r="D982" s="261"/>
      <c r="E982" s="262">
        <v>121</v>
      </c>
      <c r="F982" s="262">
        <v>0</v>
      </c>
      <c r="G982" s="285">
        <f>Tabla3[[#This Row],[INGRESOS]]-Tabla3[[#This Row],[EGRESOS]]</f>
        <v>-121</v>
      </c>
      <c r="H982" s="137">
        <v>-20245414.370000001</v>
      </c>
      <c r="I982" s="135">
        <v>1170</v>
      </c>
      <c r="J982" s="136">
        <f>Tabla3[[#This Row],[EGRESOS]]/Tabla3[[#This Row],[TC]]</f>
        <v>0.10341880341880341</v>
      </c>
      <c r="K982" s="136">
        <f>Tabla3[[#This Row],[INGRESOS]]/Tabla3[[#This Row],[TC]]</f>
        <v>0</v>
      </c>
      <c r="L982" s="8" t="s">
        <v>303</v>
      </c>
      <c r="M982" s="8" t="s">
        <v>304</v>
      </c>
      <c r="N982" s="8" t="s">
        <v>20</v>
      </c>
      <c r="O982" s="8" t="s">
        <v>184</v>
      </c>
      <c r="P982" s="8" t="s">
        <v>185</v>
      </c>
      <c r="Q982" s="8" t="s">
        <v>186</v>
      </c>
      <c r="R982" s="8"/>
      <c r="S982" s="8"/>
      <c r="T982" s="8"/>
      <c r="U982" s="8" t="s">
        <v>261</v>
      </c>
      <c r="V982" s="8"/>
      <c r="W982" s="8" t="s">
        <v>306</v>
      </c>
      <c r="X982" s="8" t="s">
        <v>98</v>
      </c>
      <c r="Y982" s="8" t="s">
        <v>23</v>
      </c>
    </row>
    <row r="983" spans="1:25" hidden="1" x14ac:dyDescent="0.25">
      <c r="A983" s="283" t="s">
        <v>247</v>
      </c>
      <c r="B983" s="260">
        <v>45784</v>
      </c>
      <c r="C983" s="261" t="s">
        <v>542</v>
      </c>
      <c r="D983" s="261"/>
      <c r="E983" s="262">
        <v>500000</v>
      </c>
      <c r="F983" s="262">
        <v>0</v>
      </c>
      <c r="G983" s="285">
        <f>Tabla3[[#This Row],[INGRESOS]]-Tabla3[[#This Row],[EGRESOS]]</f>
        <v>-500000</v>
      </c>
      <c r="H983" s="137">
        <v>-20745414.370000001</v>
      </c>
      <c r="I983" s="135">
        <v>1170</v>
      </c>
      <c r="J983" s="136">
        <f>Tabla3[[#This Row],[EGRESOS]]/Tabla3[[#This Row],[TC]]</f>
        <v>427.35042735042737</v>
      </c>
      <c r="K983" s="136">
        <f>Tabla3[[#This Row],[INGRESOS]]/Tabla3[[#This Row],[TC]]</f>
        <v>0</v>
      </c>
      <c r="L983" s="8" t="s">
        <v>303</v>
      </c>
      <c r="M983" s="8" t="s">
        <v>304</v>
      </c>
      <c r="N983" s="8" t="s">
        <v>20</v>
      </c>
      <c r="O983" s="8" t="s">
        <v>184</v>
      </c>
      <c r="P983" s="8" t="s">
        <v>237</v>
      </c>
      <c r="Q983" s="8" t="s">
        <v>248</v>
      </c>
      <c r="R983" s="8" t="s">
        <v>687</v>
      </c>
      <c r="S983" s="8" t="s">
        <v>418</v>
      </c>
      <c r="T983" s="8"/>
      <c r="U983" s="8" t="s">
        <v>273</v>
      </c>
      <c r="V983" s="8"/>
      <c r="W983" s="8" t="s">
        <v>306</v>
      </c>
      <c r="X983" s="8" t="s">
        <v>39</v>
      </c>
      <c r="Y983" s="8" t="s">
        <v>23</v>
      </c>
    </row>
    <row r="984" spans="1:25" hidden="1" x14ac:dyDescent="0.25">
      <c r="A984" s="283" t="s">
        <v>247</v>
      </c>
      <c r="B984" s="260">
        <v>45784</v>
      </c>
      <c r="C984" s="261" t="s">
        <v>571</v>
      </c>
      <c r="D984" s="261"/>
      <c r="E984" s="262">
        <v>121</v>
      </c>
      <c r="F984" s="262">
        <v>0</v>
      </c>
      <c r="G984" s="285">
        <f>Tabla3[[#This Row],[INGRESOS]]-Tabla3[[#This Row],[EGRESOS]]</f>
        <v>-121</v>
      </c>
      <c r="H984" s="137">
        <v>-20745535.370000001</v>
      </c>
      <c r="I984" s="135">
        <v>1170</v>
      </c>
      <c r="J984" s="136">
        <f>Tabla3[[#This Row],[EGRESOS]]/Tabla3[[#This Row],[TC]]</f>
        <v>0.10341880341880341</v>
      </c>
      <c r="K984" s="136">
        <f>Tabla3[[#This Row],[INGRESOS]]/Tabla3[[#This Row],[TC]]</f>
        <v>0</v>
      </c>
      <c r="L984" s="8" t="s">
        <v>303</v>
      </c>
      <c r="M984" s="8" t="s">
        <v>304</v>
      </c>
      <c r="N984" s="8" t="s">
        <v>20</v>
      </c>
      <c r="O984" s="8" t="s">
        <v>184</v>
      </c>
      <c r="P984" s="8" t="s">
        <v>185</v>
      </c>
      <c r="Q984" s="8" t="s">
        <v>186</v>
      </c>
      <c r="R984" s="8"/>
      <c r="S984" s="8"/>
      <c r="T984" s="8"/>
      <c r="U984" s="8" t="s">
        <v>261</v>
      </c>
      <c r="V984" s="8"/>
      <c r="W984" s="8" t="s">
        <v>306</v>
      </c>
      <c r="X984" s="8" t="s">
        <v>98</v>
      </c>
      <c r="Y984" s="8" t="s">
        <v>23</v>
      </c>
    </row>
    <row r="985" spans="1:25" hidden="1" x14ac:dyDescent="0.25">
      <c r="A985" s="283" t="s">
        <v>247</v>
      </c>
      <c r="B985" s="260">
        <v>45784</v>
      </c>
      <c r="C985" s="261" t="s">
        <v>637</v>
      </c>
      <c r="D985" s="261"/>
      <c r="E985" s="262">
        <v>29279.19</v>
      </c>
      <c r="F985" s="262">
        <v>0</v>
      </c>
      <c r="G985" s="285">
        <f>Tabla3[[#This Row],[INGRESOS]]-Tabla3[[#This Row],[EGRESOS]]</f>
        <v>-29279.19</v>
      </c>
      <c r="H985" s="137">
        <v>-20774814.559999999</v>
      </c>
      <c r="I985" s="135">
        <v>1170</v>
      </c>
      <c r="J985" s="136">
        <f>Tabla3[[#This Row],[EGRESOS]]/Tabla3[[#This Row],[TC]]</f>
        <v>25.024948717948718</v>
      </c>
      <c r="K985" s="136">
        <f>Tabla3[[#This Row],[INGRESOS]]/Tabla3[[#This Row],[TC]]</f>
        <v>0</v>
      </c>
      <c r="L985" s="8" t="s">
        <v>303</v>
      </c>
      <c r="M985" s="8" t="s">
        <v>304</v>
      </c>
      <c r="N985" s="8" t="s">
        <v>20</v>
      </c>
      <c r="O985" s="8" t="s">
        <v>184</v>
      </c>
      <c r="P985" s="8" t="s">
        <v>187</v>
      </c>
      <c r="Q985" s="8" t="s">
        <v>188</v>
      </c>
      <c r="R985" s="8" t="s">
        <v>317</v>
      </c>
      <c r="S985" s="8"/>
      <c r="T985" s="8"/>
      <c r="U985" s="8" t="s">
        <v>261</v>
      </c>
      <c r="V985" s="8"/>
      <c r="W985" s="8" t="s">
        <v>306</v>
      </c>
      <c r="X985" s="8" t="s">
        <v>98</v>
      </c>
      <c r="Y985" s="8" t="s">
        <v>23</v>
      </c>
    </row>
    <row r="986" spans="1:25" hidden="1" x14ac:dyDescent="0.25">
      <c r="A986" s="283" t="s">
        <v>247</v>
      </c>
      <c r="B986" s="260">
        <v>45785</v>
      </c>
      <c r="C986" s="261" t="s">
        <v>688</v>
      </c>
      <c r="D986" s="261"/>
      <c r="E986" s="262">
        <v>0</v>
      </c>
      <c r="F986" s="262">
        <v>220885.34</v>
      </c>
      <c r="G986" s="285">
        <f>Tabla3[[#This Row],[INGRESOS]]-Tabla3[[#This Row],[EGRESOS]]</f>
        <v>220885.34</v>
      </c>
      <c r="H986" s="137">
        <v>-20553929.219999999</v>
      </c>
      <c r="I986" s="135">
        <v>1170</v>
      </c>
      <c r="J986" s="136">
        <f>Tabla3[[#This Row],[EGRESOS]]/Tabla3[[#This Row],[TC]]</f>
        <v>0</v>
      </c>
      <c r="K986" s="136">
        <f>Tabla3[[#This Row],[INGRESOS]]/Tabla3[[#This Row],[TC]]</f>
        <v>188.79088888888887</v>
      </c>
      <c r="L986" s="8" t="s">
        <v>303</v>
      </c>
      <c r="M986" s="8" t="s">
        <v>304</v>
      </c>
      <c r="N986" s="8" t="s">
        <v>20</v>
      </c>
      <c r="O986" s="8" t="s">
        <v>197</v>
      </c>
      <c r="P986" s="8" t="s">
        <v>198</v>
      </c>
      <c r="Q986" s="8" t="s">
        <v>201</v>
      </c>
      <c r="R986" s="8" t="s">
        <v>681</v>
      </c>
      <c r="S986" s="8" t="s">
        <v>689</v>
      </c>
      <c r="T986" s="8"/>
      <c r="U986" s="8" t="s">
        <v>269</v>
      </c>
      <c r="V986" s="8"/>
      <c r="W986" s="8" t="s">
        <v>306</v>
      </c>
      <c r="X986" s="8" t="s">
        <v>23</v>
      </c>
      <c r="Y986" s="8" t="s">
        <v>96</v>
      </c>
    </row>
    <row r="987" spans="1:25" hidden="1" x14ac:dyDescent="0.25">
      <c r="A987" s="283" t="s">
        <v>247</v>
      </c>
      <c r="B987" s="260">
        <v>45785</v>
      </c>
      <c r="C987" s="261" t="s">
        <v>542</v>
      </c>
      <c r="D987" s="261"/>
      <c r="E987" s="262">
        <v>400000</v>
      </c>
      <c r="F987" s="262">
        <v>0</v>
      </c>
      <c r="G987" s="285">
        <f>Tabla3[[#This Row],[INGRESOS]]-Tabla3[[#This Row],[EGRESOS]]</f>
        <v>-400000</v>
      </c>
      <c r="H987" s="137">
        <v>-20953929.219999999</v>
      </c>
      <c r="I987" s="135">
        <v>1170</v>
      </c>
      <c r="J987" s="136">
        <f>Tabla3[[#This Row],[EGRESOS]]/Tabla3[[#This Row],[TC]]</f>
        <v>341.88034188034186</v>
      </c>
      <c r="K987" s="136">
        <f>Tabla3[[#This Row],[INGRESOS]]/Tabla3[[#This Row],[TC]]</f>
        <v>0</v>
      </c>
      <c r="L987" s="8" t="s">
        <v>303</v>
      </c>
      <c r="M987" s="8" t="s">
        <v>304</v>
      </c>
      <c r="N987" s="8" t="s">
        <v>20</v>
      </c>
      <c r="O987" s="8" t="s">
        <v>184</v>
      </c>
      <c r="P987" s="8" t="s">
        <v>237</v>
      </c>
      <c r="Q987" s="8" t="s">
        <v>248</v>
      </c>
      <c r="R987" s="8" t="s">
        <v>687</v>
      </c>
      <c r="S987" s="8" t="s">
        <v>418</v>
      </c>
      <c r="T987" s="8"/>
      <c r="U987" s="8" t="s">
        <v>273</v>
      </c>
      <c r="V987" s="8"/>
      <c r="W987" s="8" t="s">
        <v>306</v>
      </c>
      <c r="X987" s="8" t="s">
        <v>39</v>
      </c>
      <c r="Y987" s="8" t="s">
        <v>23</v>
      </c>
    </row>
    <row r="988" spans="1:25" hidden="1" x14ac:dyDescent="0.25">
      <c r="A988" s="283" t="s">
        <v>247</v>
      </c>
      <c r="B988" s="260">
        <v>45785</v>
      </c>
      <c r="C988" s="261" t="s">
        <v>571</v>
      </c>
      <c r="D988" s="261"/>
      <c r="E988" s="262">
        <v>121</v>
      </c>
      <c r="F988" s="262">
        <v>0</v>
      </c>
      <c r="G988" s="285">
        <f>Tabla3[[#This Row],[INGRESOS]]-Tabla3[[#This Row],[EGRESOS]]</f>
        <v>-121</v>
      </c>
      <c r="H988" s="137">
        <v>-20954050.219999999</v>
      </c>
      <c r="I988" s="135">
        <v>1170</v>
      </c>
      <c r="J988" s="136">
        <f>Tabla3[[#This Row],[EGRESOS]]/Tabla3[[#This Row],[TC]]</f>
        <v>0.10341880341880341</v>
      </c>
      <c r="K988" s="136">
        <f>Tabla3[[#This Row],[INGRESOS]]/Tabla3[[#This Row],[TC]]</f>
        <v>0</v>
      </c>
      <c r="L988" s="8" t="s">
        <v>303</v>
      </c>
      <c r="M988" s="8" t="s">
        <v>304</v>
      </c>
      <c r="N988" s="8" t="s">
        <v>20</v>
      </c>
      <c r="O988" s="8" t="s">
        <v>184</v>
      </c>
      <c r="P988" s="8" t="s">
        <v>185</v>
      </c>
      <c r="Q988" s="8" t="s">
        <v>186</v>
      </c>
      <c r="R988" s="8"/>
      <c r="S988" s="8"/>
      <c r="T988" s="8"/>
      <c r="U988" s="8" t="s">
        <v>261</v>
      </c>
      <c r="V988" s="8"/>
      <c r="W988" s="8" t="s">
        <v>306</v>
      </c>
      <c r="X988" s="8" t="s">
        <v>98</v>
      </c>
      <c r="Y988" s="8" t="s">
        <v>23</v>
      </c>
    </row>
    <row r="989" spans="1:25" hidden="1" x14ac:dyDescent="0.25">
      <c r="A989" s="283" t="s">
        <v>247</v>
      </c>
      <c r="B989" s="260">
        <v>45785</v>
      </c>
      <c r="C989" s="261" t="s">
        <v>637</v>
      </c>
      <c r="D989" s="261"/>
      <c r="E989" s="262">
        <v>1325.31</v>
      </c>
      <c r="F989" s="262">
        <v>0</v>
      </c>
      <c r="G989" s="285">
        <f>Tabla3[[#This Row],[INGRESOS]]-Tabla3[[#This Row],[EGRESOS]]</f>
        <v>-1325.31</v>
      </c>
      <c r="H989" s="137">
        <v>-20955375.530000001</v>
      </c>
      <c r="I989" s="135">
        <v>1170</v>
      </c>
      <c r="J989" s="136">
        <f>Tabla3[[#This Row],[EGRESOS]]/Tabla3[[#This Row],[TC]]</f>
        <v>1.1327435897435898</v>
      </c>
      <c r="K989" s="136">
        <f>Tabla3[[#This Row],[INGRESOS]]/Tabla3[[#This Row],[TC]]</f>
        <v>0</v>
      </c>
      <c r="L989" s="8" t="s">
        <v>303</v>
      </c>
      <c r="M989" s="8" t="s">
        <v>304</v>
      </c>
      <c r="N989" s="8" t="s">
        <v>20</v>
      </c>
      <c r="O989" s="8" t="s">
        <v>184</v>
      </c>
      <c r="P989" s="8" t="s">
        <v>187</v>
      </c>
      <c r="Q989" s="8" t="s">
        <v>188</v>
      </c>
      <c r="R989" s="8" t="s">
        <v>317</v>
      </c>
      <c r="S989" s="8"/>
      <c r="T989" s="8"/>
      <c r="U989" s="8" t="s">
        <v>261</v>
      </c>
      <c r="V989" s="8"/>
      <c r="W989" s="8" t="s">
        <v>306</v>
      </c>
      <c r="X989" s="8" t="s">
        <v>98</v>
      </c>
      <c r="Y989" s="8" t="s">
        <v>23</v>
      </c>
    </row>
    <row r="990" spans="1:25" hidden="1" x14ac:dyDescent="0.25">
      <c r="A990" s="283" t="s">
        <v>247</v>
      </c>
      <c r="B990" s="260">
        <v>45785</v>
      </c>
      <c r="C990" s="261" t="s">
        <v>637</v>
      </c>
      <c r="D990" s="261"/>
      <c r="E990" s="262">
        <v>2400.73</v>
      </c>
      <c r="F990" s="262">
        <v>0</v>
      </c>
      <c r="G990" s="285">
        <f>Tabla3[[#This Row],[INGRESOS]]-Tabla3[[#This Row],[EGRESOS]]</f>
        <v>-2400.73</v>
      </c>
      <c r="H990" s="137">
        <v>-20957776.260000002</v>
      </c>
      <c r="I990" s="135">
        <v>1170</v>
      </c>
      <c r="J990" s="136">
        <f>Tabla3[[#This Row],[EGRESOS]]/Tabla3[[#This Row],[TC]]</f>
        <v>2.0519059829059829</v>
      </c>
      <c r="K990" s="136">
        <f>Tabla3[[#This Row],[INGRESOS]]/Tabla3[[#This Row],[TC]]</f>
        <v>0</v>
      </c>
      <c r="L990" s="8" t="s">
        <v>303</v>
      </c>
      <c r="M990" s="8" t="s">
        <v>304</v>
      </c>
      <c r="N990" s="8" t="s">
        <v>20</v>
      </c>
      <c r="O990" s="8" t="s">
        <v>184</v>
      </c>
      <c r="P990" s="8" t="s">
        <v>187</v>
      </c>
      <c r="Q990" s="8" t="s">
        <v>188</v>
      </c>
      <c r="R990" s="8" t="s">
        <v>317</v>
      </c>
      <c r="S990" s="8"/>
      <c r="T990" s="8"/>
      <c r="U990" s="8" t="s">
        <v>261</v>
      </c>
      <c r="V990" s="8"/>
      <c r="W990" s="8" t="s">
        <v>306</v>
      </c>
      <c r="X990" s="8" t="s">
        <v>98</v>
      </c>
      <c r="Y990" s="8" t="s">
        <v>23</v>
      </c>
    </row>
    <row r="991" spans="1:25" hidden="1" x14ac:dyDescent="0.25">
      <c r="A991" s="283" t="s">
        <v>247</v>
      </c>
      <c r="B991" s="260">
        <v>45786</v>
      </c>
      <c r="C991" s="261" t="s">
        <v>680</v>
      </c>
      <c r="D991" s="261"/>
      <c r="E991" s="262">
        <v>0</v>
      </c>
      <c r="F991" s="262">
        <v>8957440.0999999996</v>
      </c>
      <c r="G991" s="285">
        <f>Tabla3[[#This Row],[INGRESOS]]-Tabla3[[#This Row],[EGRESOS]]</f>
        <v>8957440.0999999996</v>
      </c>
      <c r="H991" s="137">
        <v>-12000336.16</v>
      </c>
      <c r="I991" s="135">
        <v>1170</v>
      </c>
      <c r="J991" s="136">
        <f>Tabla3[[#This Row],[EGRESOS]]/Tabla3[[#This Row],[TC]]</f>
        <v>0</v>
      </c>
      <c r="K991" s="136">
        <f>Tabla3[[#This Row],[INGRESOS]]/Tabla3[[#This Row],[TC]]</f>
        <v>7655.9317094017088</v>
      </c>
      <c r="L991" s="8" t="s">
        <v>303</v>
      </c>
      <c r="M991" s="8" t="s">
        <v>304</v>
      </c>
      <c r="N991" s="8" t="s">
        <v>20</v>
      </c>
      <c r="O991" s="8" t="s">
        <v>197</v>
      </c>
      <c r="P991" s="8" t="s">
        <v>198</v>
      </c>
      <c r="Q991" s="8" t="s">
        <v>201</v>
      </c>
      <c r="R991" s="8" t="s">
        <v>681</v>
      </c>
      <c r="S991" s="8" t="s">
        <v>682</v>
      </c>
      <c r="T991" s="8"/>
      <c r="U991" s="8" t="s">
        <v>269</v>
      </c>
      <c r="V991" s="8"/>
      <c r="W991" s="8" t="s">
        <v>306</v>
      </c>
      <c r="X991" s="8" t="s">
        <v>23</v>
      </c>
      <c r="Y991" s="8" t="s">
        <v>96</v>
      </c>
    </row>
    <row r="992" spans="1:25" hidden="1" x14ac:dyDescent="0.25">
      <c r="A992" s="283" t="s">
        <v>247</v>
      </c>
      <c r="B992" s="260">
        <v>45786</v>
      </c>
      <c r="C992" s="261" t="s">
        <v>542</v>
      </c>
      <c r="D992" s="261"/>
      <c r="E992" s="262">
        <v>2000000</v>
      </c>
      <c r="F992" s="262">
        <v>0</v>
      </c>
      <c r="G992" s="285">
        <f>Tabla3[[#This Row],[INGRESOS]]-Tabla3[[#This Row],[EGRESOS]]</f>
        <v>-2000000</v>
      </c>
      <c r="H992" s="137">
        <v>-14000336.16</v>
      </c>
      <c r="I992" s="135">
        <v>1170</v>
      </c>
      <c r="J992" s="136">
        <f>Tabla3[[#This Row],[EGRESOS]]/Tabla3[[#This Row],[TC]]</f>
        <v>1709.4017094017095</v>
      </c>
      <c r="K992" s="136">
        <f>Tabla3[[#This Row],[INGRESOS]]/Tabla3[[#This Row],[TC]]</f>
        <v>0</v>
      </c>
      <c r="L992" s="8" t="s">
        <v>303</v>
      </c>
      <c r="M992" s="8" t="s">
        <v>304</v>
      </c>
      <c r="N992" s="8" t="s">
        <v>20</v>
      </c>
      <c r="O992" s="8" t="s">
        <v>184</v>
      </c>
      <c r="P992" s="8" t="s">
        <v>194</v>
      </c>
      <c r="Q992" s="8" t="s">
        <v>196</v>
      </c>
      <c r="R992" s="8"/>
      <c r="S992" s="8" t="s">
        <v>311</v>
      </c>
      <c r="T992" s="8"/>
      <c r="U992" s="8" t="s">
        <v>277</v>
      </c>
      <c r="V992" s="8" t="s">
        <v>311</v>
      </c>
      <c r="W992" s="8" t="s">
        <v>306</v>
      </c>
      <c r="X992" s="8" t="s">
        <v>103</v>
      </c>
      <c r="Y992" s="8" t="s">
        <v>23</v>
      </c>
    </row>
    <row r="993" spans="1:25" hidden="1" x14ac:dyDescent="0.25">
      <c r="A993" s="283" t="s">
        <v>247</v>
      </c>
      <c r="B993" s="260">
        <v>45786</v>
      </c>
      <c r="C993" s="261" t="s">
        <v>571</v>
      </c>
      <c r="D993" s="261"/>
      <c r="E993" s="262">
        <v>121</v>
      </c>
      <c r="F993" s="262">
        <v>0</v>
      </c>
      <c r="G993" s="285">
        <f>Tabla3[[#This Row],[INGRESOS]]-Tabla3[[#This Row],[EGRESOS]]</f>
        <v>-121</v>
      </c>
      <c r="H993" s="137">
        <v>-14000457.16</v>
      </c>
      <c r="I993" s="135">
        <v>1170</v>
      </c>
      <c r="J993" s="136">
        <f>Tabla3[[#This Row],[EGRESOS]]/Tabla3[[#This Row],[TC]]</f>
        <v>0.10341880341880341</v>
      </c>
      <c r="K993" s="136">
        <f>Tabla3[[#This Row],[INGRESOS]]/Tabla3[[#This Row],[TC]]</f>
        <v>0</v>
      </c>
      <c r="L993" s="8" t="s">
        <v>303</v>
      </c>
      <c r="M993" s="8" t="s">
        <v>304</v>
      </c>
      <c r="N993" s="8" t="s">
        <v>20</v>
      </c>
      <c r="O993" s="8" t="s">
        <v>184</v>
      </c>
      <c r="P993" s="8" t="s">
        <v>185</v>
      </c>
      <c r="Q993" s="8" t="s">
        <v>186</v>
      </c>
      <c r="R993" s="8"/>
      <c r="S993" s="8"/>
      <c r="T993" s="8"/>
      <c r="U993" s="8" t="s">
        <v>261</v>
      </c>
      <c r="V993" s="8"/>
      <c r="W993" s="8" t="s">
        <v>306</v>
      </c>
      <c r="X993" s="8" t="s">
        <v>98</v>
      </c>
      <c r="Y993" s="8" t="s">
        <v>23</v>
      </c>
    </row>
    <row r="994" spans="1:25" hidden="1" x14ac:dyDescent="0.25">
      <c r="A994" s="283" t="s">
        <v>247</v>
      </c>
      <c r="B994" s="260">
        <v>45786</v>
      </c>
      <c r="C994" s="261" t="s">
        <v>571</v>
      </c>
      <c r="D994" s="261"/>
      <c r="E994" s="262">
        <v>121</v>
      </c>
      <c r="F994" s="262">
        <v>0</v>
      </c>
      <c r="G994" s="285">
        <f>Tabla3[[#This Row],[INGRESOS]]-Tabla3[[#This Row],[EGRESOS]]</f>
        <v>-121</v>
      </c>
      <c r="H994" s="137">
        <v>-14500578.16</v>
      </c>
      <c r="I994" s="135">
        <v>1170</v>
      </c>
      <c r="J994" s="136">
        <f>Tabla3[[#This Row],[EGRESOS]]/Tabla3[[#This Row],[TC]]</f>
        <v>0.10341880341880341</v>
      </c>
      <c r="K994" s="136">
        <f>Tabla3[[#This Row],[INGRESOS]]/Tabla3[[#This Row],[TC]]</f>
        <v>0</v>
      </c>
      <c r="L994" s="8" t="s">
        <v>303</v>
      </c>
      <c r="M994" s="8" t="s">
        <v>304</v>
      </c>
      <c r="N994" s="8" t="s">
        <v>20</v>
      </c>
      <c r="O994" s="8" t="s">
        <v>184</v>
      </c>
      <c r="P994" s="8" t="s">
        <v>185</v>
      </c>
      <c r="Q994" s="8" t="s">
        <v>186</v>
      </c>
      <c r="R994" s="8"/>
      <c r="S994" s="8"/>
      <c r="T994" s="8"/>
      <c r="U994" s="8" t="s">
        <v>261</v>
      </c>
      <c r="V994" s="8"/>
      <c r="W994" s="8" t="s">
        <v>306</v>
      </c>
      <c r="X994" s="8" t="s">
        <v>98</v>
      </c>
      <c r="Y994" s="8" t="s">
        <v>23</v>
      </c>
    </row>
    <row r="995" spans="1:25" hidden="1" x14ac:dyDescent="0.25">
      <c r="A995" s="283" t="s">
        <v>247</v>
      </c>
      <c r="B995" s="260">
        <v>45786</v>
      </c>
      <c r="C995" s="261" t="s">
        <v>507</v>
      </c>
      <c r="D995" s="261"/>
      <c r="E995" s="262">
        <v>13860</v>
      </c>
      <c r="F995" s="262">
        <v>0</v>
      </c>
      <c r="G995" s="285">
        <f>Tabla3[[#This Row],[INGRESOS]]-Tabla3[[#This Row],[EGRESOS]]</f>
        <v>-13860</v>
      </c>
      <c r="H995" s="137">
        <v>-14514438.16</v>
      </c>
      <c r="I995" s="135">
        <v>1170</v>
      </c>
      <c r="J995" s="136">
        <f>Tabla3[[#This Row],[EGRESOS]]/Tabla3[[#This Row],[TC]]</f>
        <v>11.846153846153847</v>
      </c>
      <c r="K995" s="136">
        <f>Tabla3[[#This Row],[INGRESOS]]/Tabla3[[#This Row],[TC]]</f>
        <v>0</v>
      </c>
      <c r="L995" s="8" t="s">
        <v>303</v>
      </c>
      <c r="M995" s="8" t="s">
        <v>304</v>
      </c>
      <c r="N995" s="8" t="s">
        <v>20</v>
      </c>
      <c r="O995" s="8" t="s">
        <v>184</v>
      </c>
      <c r="P995" s="8" t="s">
        <v>187</v>
      </c>
      <c r="Q995" s="8" t="s">
        <v>188</v>
      </c>
      <c r="R995" s="8" t="s">
        <v>308</v>
      </c>
      <c r="S995" s="8"/>
      <c r="T995" s="8"/>
      <c r="U995" s="8" t="s">
        <v>261</v>
      </c>
      <c r="V995" s="8"/>
      <c r="W995" s="8" t="s">
        <v>306</v>
      </c>
      <c r="X995" s="8" t="s">
        <v>98</v>
      </c>
      <c r="Y995" s="8" t="s">
        <v>23</v>
      </c>
    </row>
    <row r="996" spans="1:25" hidden="1" x14ac:dyDescent="0.25">
      <c r="A996" s="283" t="s">
        <v>247</v>
      </c>
      <c r="B996" s="260">
        <v>45786</v>
      </c>
      <c r="C996" s="261" t="s">
        <v>508</v>
      </c>
      <c r="D996" s="261"/>
      <c r="E996" s="262">
        <v>1980</v>
      </c>
      <c r="F996" s="262">
        <v>0</v>
      </c>
      <c r="G996" s="285">
        <f>Tabla3[[#This Row],[INGRESOS]]-Tabla3[[#This Row],[EGRESOS]]</f>
        <v>-1980</v>
      </c>
      <c r="H996" s="137">
        <v>-14516418.16</v>
      </c>
      <c r="I996" s="135">
        <v>1170</v>
      </c>
      <c r="J996" s="136">
        <f>Tabla3[[#This Row],[EGRESOS]]/Tabla3[[#This Row],[TC]]</f>
        <v>1.6923076923076923</v>
      </c>
      <c r="K996" s="136">
        <f>Tabla3[[#This Row],[INGRESOS]]/Tabla3[[#This Row],[TC]]</f>
        <v>0</v>
      </c>
      <c r="L996" s="8" t="s">
        <v>303</v>
      </c>
      <c r="M996" s="8" t="s">
        <v>304</v>
      </c>
      <c r="N996" s="8" t="s">
        <v>20</v>
      </c>
      <c r="O996" s="8" t="s">
        <v>184</v>
      </c>
      <c r="P996" s="8" t="s">
        <v>187</v>
      </c>
      <c r="Q996" s="8" t="s">
        <v>188</v>
      </c>
      <c r="R996" s="8" t="s">
        <v>308</v>
      </c>
      <c r="S996" s="8"/>
      <c r="T996" s="8"/>
      <c r="U996" s="8" t="s">
        <v>261</v>
      </c>
      <c r="V996" s="8"/>
      <c r="W996" s="8" t="s">
        <v>306</v>
      </c>
      <c r="X996" s="8" t="s">
        <v>98</v>
      </c>
      <c r="Y996" s="8" t="s">
        <v>23</v>
      </c>
    </row>
    <row r="997" spans="1:25" hidden="1" x14ac:dyDescent="0.25">
      <c r="A997" s="283" t="s">
        <v>247</v>
      </c>
      <c r="B997" s="260">
        <v>45786</v>
      </c>
      <c r="C997" s="261" t="s">
        <v>545</v>
      </c>
      <c r="D997" s="261"/>
      <c r="E997" s="262">
        <v>66000</v>
      </c>
      <c r="F997" s="262">
        <v>0</v>
      </c>
      <c r="G997" s="285">
        <f>Tabla3[[#This Row],[INGRESOS]]-Tabla3[[#This Row],[EGRESOS]]</f>
        <v>-66000</v>
      </c>
      <c r="H997" s="137">
        <v>-14582418.16</v>
      </c>
      <c r="I997" s="135">
        <v>1170</v>
      </c>
      <c r="J997" s="136">
        <f>Tabla3[[#This Row],[EGRESOS]]/Tabla3[[#This Row],[TC]]</f>
        <v>56.410256410256409</v>
      </c>
      <c r="K997" s="136">
        <f>Tabla3[[#This Row],[INGRESOS]]/Tabla3[[#This Row],[TC]]</f>
        <v>0</v>
      </c>
      <c r="L997" s="8" t="s">
        <v>303</v>
      </c>
      <c r="M997" s="8" t="s">
        <v>304</v>
      </c>
      <c r="N997" s="8" t="s">
        <v>20</v>
      </c>
      <c r="O997" s="8" t="s">
        <v>184</v>
      </c>
      <c r="P997" s="8" t="s">
        <v>185</v>
      </c>
      <c r="Q997" s="8" t="s">
        <v>186</v>
      </c>
      <c r="R997" s="8"/>
      <c r="S997" s="8"/>
      <c r="T997" s="8"/>
      <c r="U997" s="8" t="s">
        <v>261</v>
      </c>
      <c r="V997" s="8"/>
      <c r="W997" s="8" t="s">
        <v>306</v>
      </c>
      <c r="X997" s="8" t="s">
        <v>98</v>
      </c>
      <c r="Y997" s="8" t="s">
        <v>23</v>
      </c>
    </row>
    <row r="998" spans="1:25" hidden="1" x14ac:dyDescent="0.25">
      <c r="A998" s="283" t="s">
        <v>247</v>
      </c>
      <c r="B998" s="260">
        <v>45786</v>
      </c>
      <c r="C998" s="261" t="s">
        <v>637</v>
      </c>
      <c r="D998" s="261"/>
      <c r="E998" s="262">
        <v>53744.639999999999</v>
      </c>
      <c r="F998" s="262">
        <v>0</v>
      </c>
      <c r="G998" s="285">
        <f>Tabla3[[#This Row],[INGRESOS]]-Tabla3[[#This Row],[EGRESOS]]</f>
        <v>-53744.639999999999</v>
      </c>
      <c r="H998" s="137">
        <v>-14636162.800000001</v>
      </c>
      <c r="I998" s="135">
        <v>1170</v>
      </c>
      <c r="J998" s="136">
        <f>Tabla3[[#This Row],[EGRESOS]]/Tabla3[[#This Row],[TC]]</f>
        <v>45.935589743589745</v>
      </c>
      <c r="K998" s="136">
        <f>Tabla3[[#This Row],[INGRESOS]]/Tabla3[[#This Row],[TC]]</f>
        <v>0</v>
      </c>
      <c r="L998" s="8" t="s">
        <v>303</v>
      </c>
      <c r="M998" s="8" t="s">
        <v>304</v>
      </c>
      <c r="N998" s="8" t="s">
        <v>20</v>
      </c>
      <c r="O998" s="8" t="s">
        <v>184</v>
      </c>
      <c r="P998" s="8" t="s">
        <v>187</v>
      </c>
      <c r="Q998" s="8" t="s">
        <v>188</v>
      </c>
      <c r="R998" s="8" t="s">
        <v>317</v>
      </c>
      <c r="S998" s="8"/>
      <c r="T998" s="8"/>
      <c r="U998" s="8" t="s">
        <v>261</v>
      </c>
      <c r="V998" s="8"/>
      <c r="W998" s="8" t="s">
        <v>306</v>
      </c>
      <c r="X998" s="8" t="s">
        <v>98</v>
      </c>
      <c r="Y998" s="8" t="s">
        <v>23</v>
      </c>
    </row>
    <row r="999" spans="1:25" hidden="1" x14ac:dyDescent="0.25">
      <c r="A999" s="283" t="s">
        <v>247</v>
      </c>
      <c r="B999" s="260">
        <v>45786</v>
      </c>
      <c r="C999" s="261" t="s">
        <v>637</v>
      </c>
      <c r="D999" s="261"/>
      <c r="E999" s="262">
        <v>15492.5</v>
      </c>
      <c r="F999" s="262">
        <v>0</v>
      </c>
      <c r="G999" s="285">
        <f>Tabla3[[#This Row],[INGRESOS]]-Tabla3[[#This Row],[EGRESOS]]</f>
        <v>-15492.5</v>
      </c>
      <c r="H999" s="137">
        <v>-14651655.300000001</v>
      </c>
      <c r="I999" s="135">
        <v>1170</v>
      </c>
      <c r="J999" s="136">
        <f>Tabla3[[#This Row],[EGRESOS]]/Tabla3[[#This Row],[TC]]</f>
        <v>13.241452991452991</v>
      </c>
      <c r="K999" s="136">
        <f>Tabla3[[#This Row],[INGRESOS]]/Tabla3[[#This Row],[TC]]</f>
        <v>0</v>
      </c>
      <c r="L999" s="8" t="s">
        <v>303</v>
      </c>
      <c r="M999" s="8" t="s">
        <v>304</v>
      </c>
      <c r="N999" s="8" t="s">
        <v>20</v>
      </c>
      <c r="O999" s="8" t="s">
        <v>184</v>
      </c>
      <c r="P999" s="8" t="s">
        <v>187</v>
      </c>
      <c r="Q999" s="8" t="s">
        <v>188</v>
      </c>
      <c r="R999" s="8" t="s">
        <v>317</v>
      </c>
      <c r="S999" s="8"/>
      <c r="T999" s="8"/>
      <c r="U999" s="8" t="s">
        <v>261</v>
      </c>
      <c r="V999" s="8"/>
      <c r="W999" s="8" t="s">
        <v>306</v>
      </c>
      <c r="X999" s="8" t="s">
        <v>98</v>
      </c>
      <c r="Y999" s="8" t="s">
        <v>23</v>
      </c>
    </row>
    <row r="1000" spans="1:25" hidden="1" x14ac:dyDescent="0.25">
      <c r="A1000" s="283" t="s">
        <v>247</v>
      </c>
      <c r="B1000" s="260">
        <v>45786</v>
      </c>
      <c r="C1000" s="261" t="s">
        <v>542</v>
      </c>
      <c r="D1000" s="261"/>
      <c r="E1000" s="262">
        <v>500000</v>
      </c>
      <c r="F1000" s="262">
        <v>0</v>
      </c>
      <c r="G1000" s="285">
        <f>Tabla3[[#This Row],[INGRESOS]]-Tabla3[[#This Row],[EGRESOS]]</f>
        <v>-500000</v>
      </c>
      <c r="H1000" s="137">
        <v>-14500457.16</v>
      </c>
      <c r="I1000" s="135">
        <v>1170</v>
      </c>
      <c r="J1000" s="136">
        <f>Tabla3[[#This Row],[EGRESOS]]/Tabla3[[#This Row],[TC]]</f>
        <v>427.35042735042737</v>
      </c>
      <c r="K1000" s="136">
        <f>Tabla3[[#This Row],[INGRESOS]]/Tabla3[[#This Row],[TC]]</f>
        <v>0</v>
      </c>
      <c r="L1000" s="8" t="s">
        <v>303</v>
      </c>
      <c r="M1000" s="8" t="s">
        <v>304</v>
      </c>
      <c r="N1000" s="8" t="s">
        <v>20</v>
      </c>
      <c r="O1000" s="8" t="s">
        <v>184</v>
      </c>
      <c r="P1000" s="8" t="s">
        <v>194</v>
      </c>
      <c r="Q1000" s="8" t="s">
        <v>196</v>
      </c>
      <c r="R1000" s="8" t="s">
        <v>487</v>
      </c>
      <c r="S1000" s="8" t="s">
        <v>331</v>
      </c>
      <c r="T1000" s="8"/>
      <c r="U1000" s="8" t="s">
        <v>267</v>
      </c>
      <c r="V1000" s="8" t="s">
        <v>332</v>
      </c>
      <c r="W1000" s="8" t="s">
        <v>306</v>
      </c>
      <c r="X1000" s="8" t="s">
        <v>101</v>
      </c>
      <c r="Y1000" s="8" t="s">
        <v>23</v>
      </c>
    </row>
    <row r="1001" spans="1:25" hidden="1" x14ac:dyDescent="0.25">
      <c r="A1001" s="283" t="s">
        <v>247</v>
      </c>
      <c r="B1001" s="260">
        <v>45789</v>
      </c>
      <c r="C1001" s="261" t="s">
        <v>507</v>
      </c>
      <c r="D1001" s="261"/>
      <c r="E1001" s="262">
        <v>5355</v>
      </c>
      <c r="F1001" s="262">
        <v>0</v>
      </c>
      <c r="G1001" s="285">
        <f>Tabla3[[#This Row],[INGRESOS]]-Tabla3[[#This Row],[EGRESOS]]</f>
        <v>-5355</v>
      </c>
      <c r="H1001" s="137">
        <v>-14657010.300000001</v>
      </c>
      <c r="I1001" s="135">
        <v>1170</v>
      </c>
      <c r="J1001" s="136">
        <f>Tabla3[[#This Row],[EGRESOS]]/Tabla3[[#This Row],[TC]]</f>
        <v>4.5769230769230766</v>
      </c>
      <c r="K1001" s="136">
        <f>Tabla3[[#This Row],[INGRESOS]]/Tabla3[[#This Row],[TC]]</f>
        <v>0</v>
      </c>
      <c r="L1001" s="8" t="s">
        <v>303</v>
      </c>
      <c r="M1001" s="8" t="s">
        <v>304</v>
      </c>
      <c r="N1001" s="8" t="s">
        <v>20</v>
      </c>
      <c r="O1001" s="8" t="s">
        <v>184</v>
      </c>
      <c r="P1001" s="8" t="s">
        <v>187</v>
      </c>
      <c r="Q1001" s="8" t="s">
        <v>188</v>
      </c>
      <c r="R1001" s="8" t="s">
        <v>308</v>
      </c>
      <c r="S1001" s="8"/>
      <c r="T1001" s="8"/>
      <c r="U1001" s="8" t="s">
        <v>261</v>
      </c>
      <c r="V1001" s="8"/>
      <c r="W1001" s="8" t="s">
        <v>306</v>
      </c>
      <c r="X1001" s="8" t="s">
        <v>98</v>
      </c>
      <c r="Y1001" s="8" t="s">
        <v>23</v>
      </c>
    </row>
    <row r="1002" spans="1:25" hidden="1" x14ac:dyDescent="0.25">
      <c r="A1002" s="283" t="s">
        <v>247</v>
      </c>
      <c r="B1002" s="260">
        <v>45789</v>
      </c>
      <c r="C1002" s="261" t="s">
        <v>508</v>
      </c>
      <c r="D1002" s="261"/>
      <c r="E1002" s="262">
        <v>765</v>
      </c>
      <c r="F1002" s="262">
        <v>0</v>
      </c>
      <c r="G1002" s="285">
        <f>Tabla3[[#This Row],[INGRESOS]]-Tabla3[[#This Row],[EGRESOS]]</f>
        <v>-765</v>
      </c>
      <c r="H1002" s="137">
        <v>-14657775.300000001</v>
      </c>
      <c r="I1002" s="135">
        <v>1170</v>
      </c>
      <c r="J1002" s="136">
        <f>Tabla3[[#This Row],[EGRESOS]]/Tabla3[[#This Row],[TC]]</f>
        <v>0.65384615384615385</v>
      </c>
      <c r="K1002" s="136">
        <f>Tabla3[[#This Row],[INGRESOS]]/Tabla3[[#This Row],[TC]]</f>
        <v>0</v>
      </c>
      <c r="L1002" s="8" t="s">
        <v>303</v>
      </c>
      <c r="M1002" s="8" t="s">
        <v>304</v>
      </c>
      <c r="N1002" s="8" t="s">
        <v>20</v>
      </c>
      <c r="O1002" s="8" t="s">
        <v>184</v>
      </c>
      <c r="P1002" s="8" t="s">
        <v>187</v>
      </c>
      <c r="Q1002" s="8" t="s">
        <v>188</v>
      </c>
      <c r="R1002" s="8" t="s">
        <v>232</v>
      </c>
      <c r="S1002" s="8"/>
      <c r="T1002" s="8"/>
      <c r="U1002" s="8" t="s">
        <v>261</v>
      </c>
      <c r="V1002" s="8"/>
      <c r="W1002" s="8" t="s">
        <v>306</v>
      </c>
      <c r="X1002" s="8" t="s">
        <v>98</v>
      </c>
      <c r="Y1002" s="8" t="s">
        <v>23</v>
      </c>
    </row>
    <row r="1003" spans="1:25" hidden="1" x14ac:dyDescent="0.25">
      <c r="A1003" s="283" t="s">
        <v>247</v>
      </c>
      <c r="B1003" s="260">
        <v>45789</v>
      </c>
      <c r="C1003" s="261" t="s">
        <v>690</v>
      </c>
      <c r="D1003" s="261"/>
      <c r="E1003" s="262">
        <v>25500</v>
      </c>
      <c r="F1003" s="262">
        <v>0</v>
      </c>
      <c r="G1003" s="285">
        <f>Tabla3[[#This Row],[INGRESOS]]-Tabla3[[#This Row],[EGRESOS]]</f>
        <v>-25500</v>
      </c>
      <c r="H1003" s="137">
        <v>-14683275.300000001</v>
      </c>
      <c r="I1003" s="135">
        <v>1170</v>
      </c>
      <c r="J1003" s="136">
        <f>Tabla3[[#This Row],[EGRESOS]]/Tabla3[[#This Row],[TC]]</f>
        <v>21.794871794871796</v>
      </c>
      <c r="K1003" s="136">
        <f>Tabla3[[#This Row],[INGRESOS]]/Tabla3[[#This Row],[TC]]</f>
        <v>0</v>
      </c>
      <c r="L1003" s="8" t="s">
        <v>303</v>
      </c>
      <c r="M1003" s="8" t="s">
        <v>304</v>
      </c>
      <c r="N1003" s="8" t="s">
        <v>20</v>
      </c>
      <c r="O1003" s="8" t="s">
        <v>184</v>
      </c>
      <c r="P1003" s="8" t="s">
        <v>185</v>
      </c>
      <c r="Q1003" s="8" t="s">
        <v>186</v>
      </c>
      <c r="R1003" s="8"/>
      <c r="S1003" s="8"/>
      <c r="T1003" s="8"/>
      <c r="U1003" s="8" t="s">
        <v>261</v>
      </c>
      <c r="V1003" s="8"/>
      <c r="W1003" s="8" t="s">
        <v>306</v>
      </c>
      <c r="X1003" s="8" t="s">
        <v>98</v>
      </c>
      <c r="Y1003" s="8" t="s">
        <v>23</v>
      </c>
    </row>
    <row r="1004" spans="1:25" hidden="1" x14ac:dyDescent="0.25">
      <c r="A1004" s="283" t="s">
        <v>247</v>
      </c>
      <c r="B1004" s="260">
        <v>45789</v>
      </c>
      <c r="C1004" s="261" t="s">
        <v>542</v>
      </c>
      <c r="D1004" s="261"/>
      <c r="E1004" s="262">
        <v>2000000</v>
      </c>
      <c r="F1004" s="262">
        <v>0</v>
      </c>
      <c r="G1004" s="285">
        <f>Tabla3[[#This Row],[INGRESOS]]-Tabla3[[#This Row],[EGRESOS]]</f>
        <v>-2000000</v>
      </c>
      <c r="H1004" s="137">
        <v>-16683275.300000001</v>
      </c>
      <c r="I1004" s="135">
        <v>1170</v>
      </c>
      <c r="J1004" s="136">
        <f>Tabla3[[#This Row],[EGRESOS]]/Tabla3[[#This Row],[TC]]</f>
        <v>1709.4017094017095</v>
      </c>
      <c r="K1004" s="136">
        <f>Tabla3[[#This Row],[INGRESOS]]/Tabla3[[#This Row],[TC]]</f>
        <v>0</v>
      </c>
      <c r="L1004" s="8" t="s">
        <v>303</v>
      </c>
      <c r="M1004" s="8" t="s">
        <v>304</v>
      </c>
      <c r="N1004" s="8" t="s">
        <v>20</v>
      </c>
      <c r="O1004" s="8" t="s">
        <v>184</v>
      </c>
      <c r="P1004" s="8" t="s">
        <v>194</v>
      </c>
      <c r="Q1004" s="8" t="s">
        <v>196</v>
      </c>
      <c r="R1004" s="8"/>
      <c r="S1004" s="8" t="s">
        <v>311</v>
      </c>
      <c r="T1004" s="8"/>
      <c r="U1004" s="8" t="s">
        <v>277</v>
      </c>
      <c r="V1004" s="8" t="s">
        <v>311</v>
      </c>
      <c r="W1004" s="8" t="s">
        <v>306</v>
      </c>
      <c r="X1004" s="8" t="s">
        <v>103</v>
      </c>
      <c r="Y1004" s="8" t="s">
        <v>23</v>
      </c>
    </row>
    <row r="1005" spans="1:25" hidden="1" x14ac:dyDescent="0.25">
      <c r="A1005" s="283" t="s">
        <v>247</v>
      </c>
      <c r="B1005" s="260">
        <v>45789</v>
      </c>
      <c r="C1005" s="261" t="s">
        <v>571</v>
      </c>
      <c r="D1005" s="261"/>
      <c r="E1005" s="262">
        <v>121</v>
      </c>
      <c r="F1005" s="262">
        <v>0</v>
      </c>
      <c r="G1005" s="285">
        <f>Tabla3[[#This Row],[INGRESOS]]-Tabla3[[#This Row],[EGRESOS]]</f>
        <v>-121</v>
      </c>
      <c r="H1005" s="137">
        <v>-16683396.300000001</v>
      </c>
      <c r="I1005" s="135">
        <v>1170</v>
      </c>
      <c r="J1005" s="136">
        <f>Tabla3[[#This Row],[EGRESOS]]/Tabla3[[#This Row],[TC]]</f>
        <v>0.10341880341880341</v>
      </c>
      <c r="K1005" s="136">
        <f>Tabla3[[#This Row],[INGRESOS]]/Tabla3[[#This Row],[TC]]</f>
        <v>0</v>
      </c>
      <c r="L1005" s="8" t="s">
        <v>303</v>
      </c>
      <c r="M1005" s="8" t="s">
        <v>304</v>
      </c>
      <c r="N1005" s="8" t="s">
        <v>20</v>
      </c>
      <c r="O1005" s="8" t="s">
        <v>184</v>
      </c>
      <c r="P1005" s="8" t="s">
        <v>185</v>
      </c>
      <c r="Q1005" s="8" t="s">
        <v>186</v>
      </c>
      <c r="R1005" s="8"/>
      <c r="S1005" s="8"/>
      <c r="T1005" s="8"/>
      <c r="U1005" s="8" t="s">
        <v>261</v>
      </c>
      <c r="V1005" s="8"/>
      <c r="W1005" s="8" t="s">
        <v>306</v>
      </c>
      <c r="X1005" s="8" t="s">
        <v>98</v>
      </c>
      <c r="Y1005" s="8" t="s">
        <v>23</v>
      </c>
    </row>
    <row r="1006" spans="1:25" hidden="1" x14ac:dyDescent="0.25">
      <c r="A1006" s="283" t="s">
        <v>247</v>
      </c>
      <c r="B1006" s="260">
        <v>45789</v>
      </c>
      <c r="C1006" s="261" t="s">
        <v>323</v>
      </c>
      <c r="D1006" s="261"/>
      <c r="E1006" s="262">
        <v>550000</v>
      </c>
      <c r="F1006" s="262">
        <v>0</v>
      </c>
      <c r="G1006" s="285">
        <f>Tabla3[[#This Row],[INGRESOS]]-Tabla3[[#This Row],[EGRESOS]]</f>
        <v>-550000</v>
      </c>
      <c r="H1006" s="137">
        <v>-17233396.300000001</v>
      </c>
      <c r="I1006" s="135">
        <v>1170</v>
      </c>
      <c r="J1006" s="136">
        <f>Tabla3[[#This Row],[EGRESOS]]/Tabla3[[#This Row],[TC]]</f>
        <v>470.08547008547009</v>
      </c>
      <c r="K1006" s="136">
        <f>Tabla3[[#This Row],[INGRESOS]]/Tabla3[[#This Row],[TC]]</f>
        <v>0</v>
      </c>
      <c r="L1006" s="8" t="s">
        <v>303</v>
      </c>
      <c r="M1006" s="8" t="s">
        <v>304</v>
      </c>
      <c r="N1006" s="8" t="s">
        <v>20</v>
      </c>
      <c r="O1006" s="8" t="s">
        <v>214</v>
      </c>
      <c r="P1006" s="8" t="s">
        <v>216</v>
      </c>
      <c r="Q1006" s="8" t="s">
        <v>217</v>
      </c>
      <c r="R1006" s="8" t="s">
        <v>451</v>
      </c>
      <c r="S1006" s="8"/>
      <c r="T1006" s="8"/>
      <c r="U1006" s="8" t="s">
        <v>262</v>
      </c>
      <c r="V1006" s="8"/>
      <c r="W1006" s="8"/>
      <c r="X1006" s="8"/>
      <c r="Y1006" s="8"/>
    </row>
    <row r="1007" spans="1:25" hidden="1" x14ac:dyDescent="0.25">
      <c r="A1007" s="283" t="s">
        <v>247</v>
      </c>
      <c r="B1007" s="260">
        <v>45789</v>
      </c>
      <c r="C1007" s="261" t="s">
        <v>571</v>
      </c>
      <c r="D1007" s="261"/>
      <c r="E1007" s="262">
        <v>121</v>
      </c>
      <c r="F1007" s="262">
        <v>0</v>
      </c>
      <c r="G1007" s="285">
        <f>Tabla3[[#This Row],[INGRESOS]]-Tabla3[[#This Row],[EGRESOS]]</f>
        <v>-121</v>
      </c>
      <c r="H1007" s="137">
        <v>-17233517.300000001</v>
      </c>
      <c r="I1007" s="135">
        <v>1170</v>
      </c>
      <c r="J1007" s="136">
        <f>Tabla3[[#This Row],[EGRESOS]]/Tabla3[[#This Row],[TC]]</f>
        <v>0.10341880341880341</v>
      </c>
      <c r="K1007" s="136">
        <f>Tabla3[[#This Row],[INGRESOS]]/Tabla3[[#This Row],[TC]]</f>
        <v>0</v>
      </c>
      <c r="L1007" s="8" t="s">
        <v>303</v>
      </c>
      <c r="M1007" s="8" t="s">
        <v>304</v>
      </c>
      <c r="N1007" s="8" t="s">
        <v>20</v>
      </c>
      <c r="O1007" s="8" t="s">
        <v>184</v>
      </c>
      <c r="P1007" s="8" t="s">
        <v>185</v>
      </c>
      <c r="Q1007" s="8" t="s">
        <v>186</v>
      </c>
      <c r="R1007" s="8"/>
      <c r="S1007" s="8"/>
      <c r="T1007" s="8"/>
      <c r="U1007" s="8" t="s">
        <v>261</v>
      </c>
      <c r="V1007" s="8"/>
      <c r="W1007" s="8" t="s">
        <v>306</v>
      </c>
      <c r="X1007" s="8" t="s">
        <v>98</v>
      </c>
      <c r="Y1007" s="8" t="s">
        <v>23</v>
      </c>
    </row>
    <row r="1008" spans="1:25" hidden="1" x14ac:dyDescent="0.25">
      <c r="A1008" s="283" t="s">
        <v>247</v>
      </c>
      <c r="B1008" s="260">
        <v>45789</v>
      </c>
      <c r="C1008" s="261" t="s">
        <v>542</v>
      </c>
      <c r="D1008" s="261"/>
      <c r="E1008" s="262">
        <v>471318</v>
      </c>
      <c r="F1008" s="262">
        <v>0</v>
      </c>
      <c r="G1008" s="285">
        <f>Tabla3[[#This Row],[INGRESOS]]-Tabla3[[#This Row],[EGRESOS]]</f>
        <v>-471318</v>
      </c>
      <c r="H1008" s="137">
        <v>-17704835.300000001</v>
      </c>
      <c r="I1008" s="135">
        <v>1170</v>
      </c>
      <c r="J1008" s="136">
        <f>Tabla3[[#This Row],[EGRESOS]]/Tabla3[[#This Row],[TC]]</f>
        <v>402.83589743589744</v>
      </c>
      <c r="K1008" s="136">
        <f>Tabla3[[#This Row],[INGRESOS]]/Tabla3[[#This Row],[TC]]</f>
        <v>0</v>
      </c>
      <c r="L1008" s="8" t="s">
        <v>303</v>
      </c>
      <c r="M1008" s="8" t="s">
        <v>304</v>
      </c>
      <c r="N1008" s="8" t="s">
        <v>20</v>
      </c>
      <c r="O1008" s="8" t="s">
        <v>184</v>
      </c>
      <c r="P1008" s="8" t="s">
        <v>191</v>
      </c>
      <c r="Q1008" s="8" t="s">
        <v>193</v>
      </c>
      <c r="R1008" s="8" t="s">
        <v>691</v>
      </c>
      <c r="S1008" s="8" t="s">
        <v>315</v>
      </c>
      <c r="T1008" s="8"/>
      <c r="U1008" s="8" t="s">
        <v>266</v>
      </c>
      <c r="V1008" s="8"/>
      <c r="W1008" s="8" t="s">
        <v>306</v>
      </c>
      <c r="X1008" s="8" t="s">
        <v>98</v>
      </c>
      <c r="Y1008" s="8" t="s">
        <v>23</v>
      </c>
    </row>
    <row r="1009" spans="1:25" hidden="1" x14ac:dyDescent="0.25">
      <c r="A1009" s="283" t="s">
        <v>247</v>
      </c>
      <c r="B1009" s="260">
        <v>45789</v>
      </c>
      <c r="C1009" s="261" t="s">
        <v>571</v>
      </c>
      <c r="D1009" s="261"/>
      <c r="E1009" s="262">
        <v>121</v>
      </c>
      <c r="F1009" s="262">
        <v>0</v>
      </c>
      <c r="G1009" s="285">
        <f>Tabla3[[#This Row],[INGRESOS]]-Tabla3[[#This Row],[EGRESOS]]</f>
        <v>-121</v>
      </c>
      <c r="H1009" s="137">
        <v>-17704956.300000001</v>
      </c>
      <c r="I1009" s="135">
        <v>1170</v>
      </c>
      <c r="J1009" s="136">
        <f>Tabla3[[#This Row],[EGRESOS]]/Tabla3[[#This Row],[TC]]</f>
        <v>0.10341880341880341</v>
      </c>
      <c r="K1009" s="136">
        <f>Tabla3[[#This Row],[INGRESOS]]/Tabla3[[#This Row],[TC]]</f>
        <v>0</v>
      </c>
      <c r="L1009" s="8" t="s">
        <v>303</v>
      </c>
      <c r="M1009" s="8" t="s">
        <v>304</v>
      </c>
      <c r="N1009" s="8" t="s">
        <v>20</v>
      </c>
      <c r="O1009" s="8" t="s">
        <v>184</v>
      </c>
      <c r="P1009" s="8" t="s">
        <v>185</v>
      </c>
      <c r="Q1009" s="8" t="s">
        <v>186</v>
      </c>
      <c r="R1009" s="8"/>
      <c r="S1009" s="8"/>
      <c r="T1009" s="8"/>
      <c r="U1009" s="8" t="s">
        <v>261</v>
      </c>
      <c r="V1009" s="8"/>
      <c r="W1009" s="8" t="s">
        <v>306</v>
      </c>
      <c r="X1009" s="8" t="s">
        <v>98</v>
      </c>
      <c r="Y1009" s="8" t="s">
        <v>23</v>
      </c>
    </row>
    <row r="1010" spans="1:25" hidden="1" x14ac:dyDescent="0.25">
      <c r="A1010" s="283" t="s">
        <v>247</v>
      </c>
      <c r="B1010" s="260">
        <v>45789</v>
      </c>
      <c r="C1010" s="261" t="s">
        <v>542</v>
      </c>
      <c r="D1010" s="261"/>
      <c r="E1010" s="262">
        <v>282000</v>
      </c>
      <c r="F1010" s="262">
        <v>0</v>
      </c>
      <c r="G1010" s="285">
        <f>Tabla3[[#This Row],[INGRESOS]]-Tabla3[[#This Row],[EGRESOS]]</f>
        <v>-282000</v>
      </c>
      <c r="H1010" s="137">
        <v>-17986956.300000001</v>
      </c>
      <c r="I1010" s="135">
        <v>1170</v>
      </c>
      <c r="J1010" s="136">
        <f>Tabla3[[#This Row],[EGRESOS]]/Tabla3[[#This Row],[TC]]</f>
        <v>241.02564102564102</v>
      </c>
      <c r="K1010" s="136">
        <f>Tabla3[[#This Row],[INGRESOS]]/Tabla3[[#This Row],[TC]]</f>
        <v>0</v>
      </c>
      <c r="L1010" s="8" t="s">
        <v>303</v>
      </c>
      <c r="M1010" s="8" t="s">
        <v>304</v>
      </c>
      <c r="N1010" s="8" t="s">
        <v>20</v>
      </c>
      <c r="O1010" s="8" t="s">
        <v>184</v>
      </c>
      <c r="P1010" s="8" t="s">
        <v>237</v>
      </c>
      <c r="Q1010" s="8" t="s">
        <v>248</v>
      </c>
      <c r="R1010" s="8" t="s">
        <v>687</v>
      </c>
      <c r="S1010" s="8" t="s">
        <v>418</v>
      </c>
      <c r="T1010" s="8"/>
      <c r="U1010" s="8" t="s">
        <v>273</v>
      </c>
      <c r="V1010" s="8"/>
      <c r="W1010" s="8" t="s">
        <v>306</v>
      </c>
      <c r="X1010" s="8" t="s">
        <v>39</v>
      </c>
      <c r="Y1010" s="8" t="s">
        <v>23</v>
      </c>
    </row>
    <row r="1011" spans="1:25" hidden="1" x14ac:dyDescent="0.25">
      <c r="A1011" s="283" t="s">
        <v>247</v>
      </c>
      <c r="B1011" s="260">
        <v>45789</v>
      </c>
      <c r="C1011" s="261" t="s">
        <v>571</v>
      </c>
      <c r="D1011" s="261"/>
      <c r="E1011" s="262">
        <v>18.149999999999999</v>
      </c>
      <c r="F1011" s="262">
        <v>0</v>
      </c>
      <c r="G1011" s="285">
        <f>Tabla3[[#This Row],[INGRESOS]]-Tabla3[[#This Row],[EGRESOS]]</f>
        <v>-18.149999999999999</v>
      </c>
      <c r="H1011" s="137">
        <v>-17986974.449999999</v>
      </c>
      <c r="I1011" s="135">
        <v>1170</v>
      </c>
      <c r="J1011" s="136">
        <f>Tabla3[[#This Row],[EGRESOS]]/Tabla3[[#This Row],[TC]]</f>
        <v>1.5512820512820512E-2</v>
      </c>
      <c r="K1011" s="136">
        <f>Tabla3[[#This Row],[INGRESOS]]/Tabla3[[#This Row],[TC]]</f>
        <v>0</v>
      </c>
      <c r="L1011" s="8" t="s">
        <v>303</v>
      </c>
      <c r="M1011" s="8" t="s">
        <v>304</v>
      </c>
      <c r="N1011" s="8" t="s">
        <v>20</v>
      </c>
      <c r="O1011" s="8" t="s">
        <v>184</v>
      </c>
      <c r="P1011" s="8" t="s">
        <v>185</v>
      </c>
      <c r="Q1011" s="8" t="s">
        <v>186</v>
      </c>
      <c r="R1011" s="8"/>
      <c r="S1011" s="8"/>
      <c r="T1011" s="8"/>
      <c r="U1011" s="8" t="s">
        <v>261</v>
      </c>
      <c r="V1011" s="8"/>
      <c r="W1011" s="8" t="s">
        <v>306</v>
      </c>
      <c r="X1011" s="8" t="s">
        <v>98</v>
      </c>
      <c r="Y1011" s="8" t="s">
        <v>23</v>
      </c>
    </row>
    <row r="1012" spans="1:25" hidden="1" x14ac:dyDescent="0.25">
      <c r="A1012" s="283" t="s">
        <v>247</v>
      </c>
      <c r="B1012" s="260">
        <v>45789</v>
      </c>
      <c r="C1012" s="261" t="s">
        <v>542</v>
      </c>
      <c r="D1012" s="261"/>
      <c r="E1012" s="262">
        <v>550000</v>
      </c>
      <c r="F1012" s="262">
        <v>0</v>
      </c>
      <c r="G1012" s="285">
        <f>Tabla3[[#This Row],[INGRESOS]]-Tabla3[[#This Row],[EGRESOS]]</f>
        <v>-550000</v>
      </c>
      <c r="H1012" s="137">
        <v>-18536974.449999999</v>
      </c>
      <c r="I1012" s="135">
        <v>1170</v>
      </c>
      <c r="J1012" s="136">
        <f>Tabla3[[#This Row],[EGRESOS]]/Tabla3[[#This Row],[TC]]</f>
        <v>470.08547008547009</v>
      </c>
      <c r="K1012" s="136">
        <f>Tabla3[[#This Row],[INGRESOS]]/Tabla3[[#This Row],[TC]]</f>
        <v>0</v>
      </c>
      <c r="L1012" s="8" t="s">
        <v>303</v>
      </c>
      <c r="M1012" s="8" t="s">
        <v>304</v>
      </c>
      <c r="N1012" s="8" t="s">
        <v>20</v>
      </c>
      <c r="O1012" s="8" t="s">
        <v>184</v>
      </c>
      <c r="P1012" s="8" t="s">
        <v>191</v>
      </c>
      <c r="Q1012" s="8" t="s">
        <v>193</v>
      </c>
      <c r="R1012" s="8" t="s">
        <v>692</v>
      </c>
      <c r="S1012" s="8" t="s">
        <v>313</v>
      </c>
      <c r="T1012" s="8"/>
      <c r="U1012" s="8" t="s">
        <v>266</v>
      </c>
      <c r="V1012" s="8"/>
      <c r="W1012" s="8" t="s">
        <v>306</v>
      </c>
      <c r="X1012" s="8" t="s">
        <v>98</v>
      </c>
      <c r="Y1012" s="8" t="s">
        <v>23</v>
      </c>
    </row>
    <row r="1013" spans="1:25" hidden="1" x14ac:dyDescent="0.25">
      <c r="A1013" s="283" t="s">
        <v>247</v>
      </c>
      <c r="B1013" s="260">
        <v>45789</v>
      </c>
      <c r="C1013" s="261" t="s">
        <v>571</v>
      </c>
      <c r="D1013" s="261"/>
      <c r="E1013" s="262">
        <v>121</v>
      </c>
      <c r="F1013" s="262">
        <v>0</v>
      </c>
      <c r="G1013" s="285">
        <f>Tabla3[[#This Row],[INGRESOS]]-Tabla3[[#This Row],[EGRESOS]]</f>
        <v>-121</v>
      </c>
      <c r="H1013" s="137">
        <v>-18537095.449999999</v>
      </c>
      <c r="I1013" s="135">
        <v>1170</v>
      </c>
      <c r="J1013" s="136">
        <f>Tabla3[[#This Row],[EGRESOS]]/Tabla3[[#This Row],[TC]]</f>
        <v>0.10341880341880341</v>
      </c>
      <c r="K1013" s="136">
        <f>Tabla3[[#This Row],[INGRESOS]]/Tabla3[[#This Row],[TC]]</f>
        <v>0</v>
      </c>
      <c r="L1013" s="8" t="s">
        <v>303</v>
      </c>
      <c r="M1013" s="8" t="s">
        <v>304</v>
      </c>
      <c r="N1013" s="8" t="s">
        <v>20</v>
      </c>
      <c r="O1013" s="8" t="s">
        <v>184</v>
      </c>
      <c r="P1013" s="8" t="s">
        <v>185</v>
      </c>
      <c r="Q1013" s="8" t="s">
        <v>186</v>
      </c>
      <c r="R1013" s="8"/>
      <c r="S1013" s="8"/>
      <c r="T1013" s="8"/>
      <c r="U1013" s="8" t="s">
        <v>261</v>
      </c>
      <c r="V1013" s="8"/>
      <c r="W1013" s="8" t="s">
        <v>306</v>
      </c>
      <c r="X1013" s="8" t="s">
        <v>98</v>
      </c>
      <c r="Y1013" s="8" t="s">
        <v>23</v>
      </c>
    </row>
    <row r="1014" spans="1:25" hidden="1" x14ac:dyDescent="0.25">
      <c r="A1014" s="283" t="s">
        <v>247</v>
      </c>
      <c r="B1014" s="260">
        <v>45789</v>
      </c>
      <c r="C1014" s="261" t="s">
        <v>542</v>
      </c>
      <c r="D1014" s="261"/>
      <c r="E1014" s="262">
        <v>90000</v>
      </c>
      <c r="F1014" s="262">
        <v>0</v>
      </c>
      <c r="G1014" s="285">
        <f>Tabla3[[#This Row],[INGRESOS]]-Tabla3[[#This Row],[EGRESOS]]</f>
        <v>-90000</v>
      </c>
      <c r="H1014" s="137">
        <v>-18627095.449999999</v>
      </c>
      <c r="I1014" s="135">
        <v>1170</v>
      </c>
      <c r="J1014" s="136">
        <f>Tabla3[[#This Row],[EGRESOS]]/Tabla3[[#This Row],[TC]]</f>
        <v>76.92307692307692</v>
      </c>
      <c r="K1014" s="136">
        <f>Tabla3[[#This Row],[INGRESOS]]/Tabla3[[#This Row],[TC]]</f>
        <v>0</v>
      </c>
      <c r="L1014" s="8" t="s">
        <v>303</v>
      </c>
      <c r="M1014" s="8" t="s">
        <v>304</v>
      </c>
      <c r="N1014" s="8" t="s">
        <v>20</v>
      </c>
      <c r="O1014" s="8" t="s">
        <v>184</v>
      </c>
      <c r="P1014" s="8" t="s">
        <v>194</v>
      </c>
      <c r="Q1014" s="8" t="s">
        <v>195</v>
      </c>
      <c r="R1014" s="8" t="s">
        <v>693</v>
      </c>
      <c r="S1014" s="8" t="s">
        <v>331</v>
      </c>
      <c r="T1014" s="8"/>
      <c r="U1014" s="8" t="s">
        <v>267</v>
      </c>
      <c r="V1014" s="8" t="s">
        <v>332</v>
      </c>
      <c r="W1014" s="8" t="s">
        <v>306</v>
      </c>
      <c r="X1014" s="8" t="s">
        <v>101</v>
      </c>
      <c r="Y1014" s="8" t="s">
        <v>23</v>
      </c>
    </row>
    <row r="1015" spans="1:25" hidden="1" x14ac:dyDescent="0.25">
      <c r="A1015" s="283" t="s">
        <v>247</v>
      </c>
      <c r="B1015" s="260">
        <v>45789</v>
      </c>
      <c r="C1015" s="261" t="s">
        <v>568</v>
      </c>
      <c r="D1015" s="261"/>
      <c r="E1015" s="262">
        <v>1173709</v>
      </c>
      <c r="F1015" s="262">
        <v>0</v>
      </c>
      <c r="G1015" s="285">
        <f>Tabla3[[#This Row],[INGRESOS]]-Tabla3[[#This Row],[EGRESOS]]</f>
        <v>-1173709</v>
      </c>
      <c r="H1015" s="137">
        <v>-19800804.449999999</v>
      </c>
      <c r="I1015" s="135">
        <v>1170</v>
      </c>
      <c r="J1015" s="136">
        <f>Tabla3[[#This Row],[EGRESOS]]/Tabla3[[#This Row],[TC]]</f>
        <v>1003.1700854700855</v>
      </c>
      <c r="K1015" s="136">
        <f>Tabla3[[#This Row],[INGRESOS]]/Tabla3[[#This Row],[TC]]</f>
        <v>0</v>
      </c>
      <c r="L1015" s="8" t="s">
        <v>303</v>
      </c>
      <c r="M1015" s="8" t="s">
        <v>304</v>
      </c>
      <c r="N1015" s="8" t="s">
        <v>20</v>
      </c>
      <c r="O1015" s="8" t="s">
        <v>184</v>
      </c>
      <c r="P1015" s="8" t="s">
        <v>187</v>
      </c>
      <c r="Q1015" s="8" t="s">
        <v>188</v>
      </c>
      <c r="R1015" s="8" t="s">
        <v>694</v>
      </c>
      <c r="S1015" s="8" t="s">
        <v>68</v>
      </c>
      <c r="T1015" s="8"/>
      <c r="U1015" s="8" t="s">
        <v>265</v>
      </c>
      <c r="V1015" s="8"/>
      <c r="W1015" s="8" t="s">
        <v>306</v>
      </c>
      <c r="X1015" s="8" t="s">
        <v>98</v>
      </c>
      <c r="Y1015" s="8" t="s">
        <v>23</v>
      </c>
    </row>
    <row r="1016" spans="1:25" hidden="1" x14ac:dyDescent="0.25">
      <c r="A1016" s="283" t="s">
        <v>247</v>
      </c>
      <c r="B1016" s="260">
        <v>45789</v>
      </c>
      <c r="C1016" s="261" t="s">
        <v>637</v>
      </c>
      <c r="D1016" s="261"/>
      <c r="E1016" s="262">
        <v>27594.91</v>
      </c>
      <c r="F1016" s="262">
        <v>0</v>
      </c>
      <c r="G1016" s="285">
        <f>Tabla3[[#This Row],[INGRESOS]]-Tabla3[[#This Row],[EGRESOS]]</f>
        <v>-27594.91</v>
      </c>
      <c r="H1016" s="137">
        <v>-19828399.359999999</v>
      </c>
      <c r="I1016" s="135">
        <v>1170</v>
      </c>
      <c r="J1016" s="136">
        <f>Tabla3[[#This Row],[EGRESOS]]/Tabla3[[#This Row],[TC]]</f>
        <v>23.585393162393164</v>
      </c>
      <c r="K1016" s="136">
        <f>Tabla3[[#This Row],[INGRESOS]]/Tabla3[[#This Row],[TC]]</f>
        <v>0</v>
      </c>
      <c r="L1016" s="8" t="s">
        <v>303</v>
      </c>
      <c r="M1016" s="8" t="s">
        <v>304</v>
      </c>
      <c r="N1016" s="8" t="s">
        <v>20</v>
      </c>
      <c r="O1016" s="8" t="s">
        <v>184</v>
      </c>
      <c r="P1016" s="8" t="s">
        <v>185</v>
      </c>
      <c r="Q1016" s="8" t="s">
        <v>186</v>
      </c>
      <c r="R1016" s="8"/>
      <c r="S1016" s="8"/>
      <c r="T1016" s="8"/>
      <c r="U1016" s="8" t="s">
        <v>261</v>
      </c>
      <c r="V1016" s="8"/>
      <c r="W1016" s="8" t="s">
        <v>306</v>
      </c>
      <c r="X1016" s="8" t="s">
        <v>98</v>
      </c>
      <c r="Y1016" s="8" t="s">
        <v>23</v>
      </c>
    </row>
    <row r="1017" spans="1:25" hidden="1" x14ac:dyDescent="0.25">
      <c r="A1017" s="283" t="s">
        <v>247</v>
      </c>
      <c r="B1017" s="260">
        <v>45791</v>
      </c>
      <c r="C1017" s="261" t="s">
        <v>521</v>
      </c>
      <c r="D1017" s="261" t="s">
        <v>695</v>
      </c>
      <c r="E1017" s="262">
        <v>995000</v>
      </c>
      <c r="F1017" s="262">
        <v>0</v>
      </c>
      <c r="G1017" s="285">
        <f>Tabla3[[#This Row],[INGRESOS]]-Tabla3[[#This Row],[EGRESOS]]</f>
        <v>-995000</v>
      </c>
      <c r="H1017" s="137">
        <v>-20823399.359999999</v>
      </c>
      <c r="I1017" s="135">
        <v>1170</v>
      </c>
      <c r="J1017" s="136">
        <f>Tabla3[[#This Row],[EGRESOS]]/Tabla3[[#This Row],[TC]]</f>
        <v>850.42735042735046</v>
      </c>
      <c r="K1017" s="136">
        <f>Tabla3[[#This Row],[INGRESOS]]/Tabla3[[#This Row],[TC]]</f>
        <v>0</v>
      </c>
      <c r="L1017" s="8" t="s">
        <v>303</v>
      </c>
      <c r="M1017" s="8" t="s">
        <v>304</v>
      </c>
      <c r="N1017" s="8" t="s">
        <v>20</v>
      </c>
      <c r="O1017" s="8" t="s">
        <v>197</v>
      </c>
      <c r="P1017" s="8" t="s">
        <v>198</v>
      </c>
      <c r="Q1017" s="8" t="s">
        <v>200</v>
      </c>
      <c r="R1017" s="8" t="s">
        <v>696</v>
      </c>
      <c r="S1017" s="8" t="s">
        <v>588</v>
      </c>
      <c r="T1017" s="8" t="s">
        <v>697</v>
      </c>
      <c r="U1017" s="8" t="s">
        <v>258</v>
      </c>
      <c r="V1017" s="8"/>
      <c r="W1017" s="8" t="s">
        <v>306</v>
      </c>
      <c r="X1017" s="8" t="s">
        <v>29</v>
      </c>
      <c r="Y1017" s="8" t="s">
        <v>23</v>
      </c>
    </row>
    <row r="1018" spans="1:25" hidden="1" x14ac:dyDescent="0.25">
      <c r="A1018" s="283" t="s">
        <v>247</v>
      </c>
      <c r="B1018" s="260">
        <v>45791</v>
      </c>
      <c r="C1018" s="261" t="s">
        <v>507</v>
      </c>
      <c r="D1018" s="261"/>
      <c r="E1018" s="262">
        <v>3024</v>
      </c>
      <c r="F1018" s="262">
        <v>0</v>
      </c>
      <c r="G1018" s="285">
        <f>Tabla3[[#This Row],[INGRESOS]]-Tabla3[[#This Row],[EGRESOS]]</f>
        <v>-3024</v>
      </c>
      <c r="H1018" s="137">
        <v>-20826423.359999999</v>
      </c>
      <c r="I1018" s="135">
        <v>1170</v>
      </c>
      <c r="J1018" s="136">
        <f>Tabla3[[#This Row],[EGRESOS]]/Tabla3[[#This Row],[TC]]</f>
        <v>2.5846153846153848</v>
      </c>
      <c r="K1018" s="136">
        <f>Tabla3[[#This Row],[INGRESOS]]/Tabla3[[#This Row],[TC]]</f>
        <v>0</v>
      </c>
      <c r="L1018" s="8" t="s">
        <v>303</v>
      </c>
      <c r="M1018" s="8" t="s">
        <v>304</v>
      </c>
      <c r="N1018" s="8" t="s">
        <v>20</v>
      </c>
      <c r="O1018" s="8" t="s">
        <v>184</v>
      </c>
      <c r="P1018" s="8" t="s">
        <v>187</v>
      </c>
      <c r="Q1018" s="8" t="s">
        <v>188</v>
      </c>
      <c r="R1018" s="8" t="s">
        <v>308</v>
      </c>
      <c r="S1018" s="8"/>
      <c r="T1018" s="8"/>
      <c r="U1018" s="8" t="s">
        <v>261</v>
      </c>
      <c r="V1018" s="8"/>
      <c r="W1018" s="8" t="s">
        <v>306</v>
      </c>
      <c r="X1018" s="8" t="s">
        <v>98</v>
      </c>
      <c r="Y1018" s="8" t="s">
        <v>23</v>
      </c>
    </row>
    <row r="1019" spans="1:25" hidden="1" x14ac:dyDescent="0.25">
      <c r="A1019" s="283" t="s">
        <v>247</v>
      </c>
      <c r="B1019" s="260">
        <v>45791</v>
      </c>
      <c r="C1019" s="261" t="s">
        <v>508</v>
      </c>
      <c r="D1019" s="261"/>
      <c r="E1019" s="262">
        <v>432</v>
      </c>
      <c r="F1019" s="262">
        <v>0</v>
      </c>
      <c r="G1019" s="285">
        <f>Tabla3[[#This Row],[INGRESOS]]-Tabla3[[#This Row],[EGRESOS]]</f>
        <v>-432</v>
      </c>
      <c r="H1019" s="137">
        <v>-20826855.359999999</v>
      </c>
      <c r="I1019" s="135">
        <v>1170</v>
      </c>
      <c r="J1019" s="136">
        <f>Tabla3[[#This Row],[EGRESOS]]/Tabla3[[#This Row],[TC]]</f>
        <v>0.36923076923076925</v>
      </c>
      <c r="K1019" s="136">
        <f>Tabla3[[#This Row],[INGRESOS]]/Tabla3[[#This Row],[TC]]</f>
        <v>0</v>
      </c>
      <c r="L1019" s="8" t="s">
        <v>303</v>
      </c>
      <c r="M1019" s="8" t="s">
        <v>304</v>
      </c>
      <c r="N1019" s="8" t="s">
        <v>20</v>
      </c>
      <c r="O1019" s="8" t="s">
        <v>184</v>
      </c>
      <c r="P1019" s="8" t="s">
        <v>187</v>
      </c>
      <c r="Q1019" s="8" t="s">
        <v>188</v>
      </c>
      <c r="R1019" s="8" t="s">
        <v>334</v>
      </c>
      <c r="S1019" s="8"/>
      <c r="T1019" s="8"/>
      <c r="U1019" s="8" t="s">
        <v>261</v>
      </c>
      <c r="V1019" s="8"/>
      <c r="W1019" s="8" t="s">
        <v>306</v>
      </c>
      <c r="X1019" s="8" t="s">
        <v>98</v>
      </c>
      <c r="Y1019" s="8" t="s">
        <v>23</v>
      </c>
    </row>
    <row r="1020" spans="1:25" hidden="1" x14ac:dyDescent="0.25">
      <c r="A1020" s="283" t="s">
        <v>247</v>
      </c>
      <c r="B1020" s="260">
        <v>45791</v>
      </c>
      <c r="C1020" s="261" t="s">
        <v>536</v>
      </c>
      <c r="D1020" s="261"/>
      <c r="E1020" s="262">
        <v>14400</v>
      </c>
      <c r="F1020" s="262">
        <v>0</v>
      </c>
      <c r="G1020" s="285">
        <f>Tabla3[[#This Row],[INGRESOS]]-Tabla3[[#This Row],[EGRESOS]]</f>
        <v>-14400</v>
      </c>
      <c r="H1020" s="137">
        <v>-20841255.359999999</v>
      </c>
      <c r="I1020" s="135">
        <v>1170</v>
      </c>
      <c r="J1020" s="136">
        <f>Tabla3[[#This Row],[EGRESOS]]/Tabla3[[#This Row],[TC]]</f>
        <v>12.307692307692308</v>
      </c>
      <c r="K1020" s="136">
        <f>Tabla3[[#This Row],[INGRESOS]]/Tabla3[[#This Row],[TC]]</f>
        <v>0</v>
      </c>
      <c r="L1020" s="8" t="s">
        <v>303</v>
      </c>
      <c r="M1020" s="8" t="s">
        <v>304</v>
      </c>
      <c r="N1020" s="8" t="s">
        <v>20</v>
      </c>
      <c r="O1020" s="8" t="s">
        <v>184</v>
      </c>
      <c r="P1020" s="8" t="s">
        <v>185</v>
      </c>
      <c r="Q1020" s="8" t="s">
        <v>186</v>
      </c>
      <c r="R1020" s="8"/>
      <c r="S1020" s="8"/>
      <c r="T1020" s="8"/>
      <c r="U1020" s="8" t="s">
        <v>261</v>
      </c>
      <c r="V1020" s="8"/>
      <c r="W1020" s="8" t="s">
        <v>306</v>
      </c>
      <c r="X1020" s="8" t="s">
        <v>98</v>
      </c>
      <c r="Y1020" s="8" t="s">
        <v>23</v>
      </c>
    </row>
    <row r="1021" spans="1:25" hidden="1" x14ac:dyDescent="0.25">
      <c r="A1021" s="283" t="s">
        <v>247</v>
      </c>
      <c r="B1021" s="260">
        <v>45791</v>
      </c>
      <c r="C1021" s="261" t="s">
        <v>637</v>
      </c>
      <c r="D1021" s="261"/>
      <c r="E1021" s="262">
        <v>6077.14</v>
      </c>
      <c r="F1021" s="262">
        <v>0</v>
      </c>
      <c r="G1021" s="285">
        <f>Tabla3[[#This Row],[INGRESOS]]-Tabla3[[#This Row],[EGRESOS]]</f>
        <v>-6077.14</v>
      </c>
      <c r="H1021" s="137">
        <v>-20847332.5</v>
      </c>
      <c r="I1021" s="135">
        <v>1170</v>
      </c>
      <c r="J1021" s="136">
        <f>Tabla3[[#This Row],[EGRESOS]]/Tabla3[[#This Row],[TC]]</f>
        <v>5.1941367521367523</v>
      </c>
      <c r="K1021" s="136">
        <f>Tabla3[[#This Row],[INGRESOS]]/Tabla3[[#This Row],[TC]]</f>
        <v>0</v>
      </c>
      <c r="L1021" s="8" t="s">
        <v>303</v>
      </c>
      <c r="M1021" s="8" t="s">
        <v>304</v>
      </c>
      <c r="N1021" s="8" t="s">
        <v>20</v>
      </c>
      <c r="O1021" s="8" t="s">
        <v>184</v>
      </c>
      <c r="P1021" s="8" t="s">
        <v>187</v>
      </c>
      <c r="Q1021" s="8" t="s">
        <v>188</v>
      </c>
      <c r="R1021" s="8" t="s">
        <v>317</v>
      </c>
      <c r="S1021" s="8"/>
      <c r="T1021" s="8"/>
      <c r="U1021" s="8" t="s">
        <v>261</v>
      </c>
      <c r="V1021" s="8"/>
      <c r="W1021" s="8" t="s">
        <v>306</v>
      </c>
      <c r="X1021" s="8" t="s">
        <v>98</v>
      </c>
      <c r="Y1021" s="8" t="s">
        <v>23</v>
      </c>
    </row>
    <row r="1022" spans="1:25" hidden="1" x14ac:dyDescent="0.25">
      <c r="A1022" s="283" t="s">
        <v>247</v>
      </c>
      <c r="B1022" s="260">
        <v>45792</v>
      </c>
      <c r="C1022" s="261" t="s">
        <v>521</v>
      </c>
      <c r="D1022" s="261" t="s">
        <v>698</v>
      </c>
      <c r="E1022" s="262">
        <v>250000</v>
      </c>
      <c r="F1022" s="262">
        <v>0</v>
      </c>
      <c r="G1022" s="285">
        <f>Tabla3[[#This Row],[INGRESOS]]-Tabla3[[#This Row],[EGRESOS]]</f>
        <v>-250000</v>
      </c>
      <c r="H1022" s="137">
        <v>-21097332.5</v>
      </c>
      <c r="I1022" s="135">
        <v>1170</v>
      </c>
      <c r="J1022" s="136">
        <f>Tabla3[[#This Row],[EGRESOS]]/Tabla3[[#This Row],[TC]]</f>
        <v>213.67521367521368</v>
      </c>
      <c r="K1022" s="136">
        <f>Tabla3[[#This Row],[INGRESOS]]/Tabla3[[#This Row],[TC]]</f>
        <v>0</v>
      </c>
      <c r="L1022" s="8" t="s">
        <v>303</v>
      </c>
      <c r="M1022" s="8" t="s">
        <v>304</v>
      </c>
      <c r="N1022" s="8" t="s">
        <v>20</v>
      </c>
      <c r="O1022" s="8" t="s">
        <v>184</v>
      </c>
      <c r="P1022" s="8" t="s">
        <v>191</v>
      </c>
      <c r="Q1022" s="8" t="s">
        <v>193</v>
      </c>
      <c r="R1022" s="8" t="s">
        <v>666</v>
      </c>
      <c r="S1022" s="8" t="s">
        <v>313</v>
      </c>
      <c r="T1022" s="8"/>
      <c r="U1022" s="8" t="s">
        <v>266</v>
      </c>
      <c r="V1022" s="8"/>
      <c r="W1022" s="8" t="s">
        <v>306</v>
      </c>
      <c r="X1022" s="8" t="s">
        <v>98</v>
      </c>
      <c r="Y1022" s="8" t="s">
        <v>23</v>
      </c>
    </row>
    <row r="1023" spans="1:25" hidden="1" x14ac:dyDescent="0.25">
      <c r="A1023" s="283" t="s">
        <v>247</v>
      </c>
      <c r="B1023" s="260">
        <v>45792</v>
      </c>
      <c r="C1023" s="261" t="s">
        <v>699</v>
      </c>
      <c r="D1023" s="261"/>
      <c r="E1023" s="262">
        <v>0</v>
      </c>
      <c r="F1023" s="262">
        <v>58177991.899999999</v>
      </c>
      <c r="G1023" s="285">
        <f>Tabla3[[#This Row],[INGRESOS]]-Tabla3[[#This Row],[EGRESOS]]</f>
        <v>58177991.899999999</v>
      </c>
      <c r="H1023" s="137">
        <v>37080659.399999999</v>
      </c>
      <c r="I1023" s="135">
        <v>1170</v>
      </c>
      <c r="J1023" s="136">
        <f>Tabla3[[#This Row],[EGRESOS]]/Tabla3[[#This Row],[TC]]</f>
        <v>0</v>
      </c>
      <c r="K1023" s="136">
        <f>Tabla3[[#This Row],[INGRESOS]]/Tabla3[[#This Row],[TC]]</f>
        <v>49724.779401709398</v>
      </c>
      <c r="L1023" s="8" t="s">
        <v>303</v>
      </c>
      <c r="M1023" s="8" t="s">
        <v>304</v>
      </c>
      <c r="N1023" s="8" t="s">
        <v>20</v>
      </c>
      <c r="O1023" s="8" t="s">
        <v>742</v>
      </c>
      <c r="P1023" s="8" t="s">
        <v>1069</v>
      </c>
      <c r="Q1023" s="8" t="s">
        <v>933</v>
      </c>
      <c r="R1023" s="379" t="s">
        <v>935</v>
      </c>
      <c r="S1023" s="8" t="s">
        <v>700</v>
      </c>
      <c r="T1023" s="8" t="s">
        <v>932</v>
      </c>
      <c r="U1023" s="8" t="s">
        <v>270</v>
      </c>
      <c r="V1023" s="8"/>
      <c r="W1023" s="8" t="s">
        <v>306</v>
      </c>
      <c r="X1023" s="8" t="s">
        <v>23</v>
      </c>
      <c r="Y1023" s="8" t="s">
        <v>96</v>
      </c>
    </row>
    <row r="1024" spans="1:25" hidden="1" x14ac:dyDescent="0.25">
      <c r="A1024" s="283" t="s">
        <v>247</v>
      </c>
      <c r="B1024" s="260">
        <v>45792</v>
      </c>
      <c r="C1024" s="261" t="s">
        <v>507</v>
      </c>
      <c r="D1024" s="261"/>
      <c r="E1024" s="262">
        <v>3024</v>
      </c>
      <c r="F1024" s="262">
        <v>0</v>
      </c>
      <c r="G1024" s="285">
        <f>Tabla3[[#This Row],[INGRESOS]]-Tabla3[[#This Row],[EGRESOS]]</f>
        <v>-3024</v>
      </c>
      <c r="H1024" s="137">
        <v>37077635.399999999</v>
      </c>
      <c r="I1024" s="135">
        <v>1170</v>
      </c>
      <c r="J1024" s="136">
        <f>Tabla3[[#This Row],[EGRESOS]]/Tabla3[[#This Row],[TC]]</f>
        <v>2.5846153846153848</v>
      </c>
      <c r="K1024" s="136">
        <f>Tabla3[[#This Row],[INGRESOS]]/Tabla3[[#This Row],[TC]]</f>
        <v>0</v>
      </c>
      <c r="L1024" s="8" t="s">
        <v>303</v>
      </c>
      <c r="M1024" s="8" t="s">
        <v>304</v>
      </c>
      <c r="N1024" s="8" t="s">
        <v>20</v>
      </c>
      <c r="O1024" s="8" t="s">
        <v>184</v>
      </c>
      <c r="P1024" s="8" t="s">
        <v>187</v>
      </c>
      <c r="Q1024" s="8" t="s">
        <v>188</v>
      </c>
      <c r="R1024" s="8" t="s">
        <v>308</v>
      </c>
      <c r="S1024" s="8"/>
      <c r="T1024" s="8"/>
      <c r="U1024" s="8" t="s">
        <v>261</v>
      </c>
      <c r="V1024" s="8"/>
      <c r="W1024" s="8" t="s">
        <v>306</v>
      </c>
      <c r="X1024" s="8" t="s">
        <v>98</v>
      </c>
      <c r="Y1024" s="8" t="s">
        <v>23</v>
      </c>
    </row>
    <row r="1025" spans="1:25" hidden="1" x14ac:dyDescent="0.25">
      <c r="A1025" s="283" t="s">
        <v>247</v>
      </c>
      <c r="B1025" s="260">
        <v>45792</v>
      </c>
      <c r="C1025" s="261" t="s">
        <v>508</v>
      </c>
      <c r="D1025" s="261"/>
      <c r="E1025" s="262">
        <v>432</v>
      </c>
      <c r="F1025" s="262">
        <v>0</v>
      </c>
      <c r="G1025" s="285">
        <f>Tabla3[[#This Row],[INGRESOS]]-Tabla3[[#This Row],[EGRESOS]]</f>
        <v>-432</v>
      </c>
      <c r="H1025" s="137">
        <v>37077203.399999999</v>
      </c>
      <c r="I1025" s="135">
        <v>1170</v>
      </c>
      <c r="J1025" s="136">
        <f>Tabla3[[#This Row],[EGRESOS]]/Tabla3[[#This Row],[TC]]</f>
        <v>0.36923076923076925</v>
      </c>
      <c r="K1025" s="136">
        <f>Tabla3[[#This Row],[INGRESOS]]/Tabla3[[#This Row],[TC]]</f>
        <v>0</v>
      </c>
      <c r="L1025" s="8" t="s">
        <v>303</v>
      </c>
      <c r="M1025" s="8" t="s">
        <v>304</v>
      </c>
      <c r="N1025" s="8" t="s">
        <v>20</v>
      </c>
      <c r="O1025" s="8" t="s">
        <v>184</v>
      </c>
      <c r="P1025" s="8" t="s">
        <v>187</v>
      </c>
      <c r="Q1025" s="8" t="s">
        <v>188</v>
      </c>
      <c r="R1025" s="8" t="s">
        <v>334</v>
      </c>
      <c r="S1025" s="8"/>
      <c r="T1025" s="8"/>
      <c r="U1025" s="8" t="s">
        <v>261</v>
      </c>
      <c r="V1025" s="8"/>
      <c r="W1025" s="8" t="s">
        <v>306</v>
      </c>
      <c r="X1025" s="8" t="s">
        <v>98</v>
      </c>
      <c r="Y1025" s="8" t="s">
        <v>23</v>
      </c>
    </row>
    <row r="1026" spans="1:25" hidden="1" x14ac:dyDescent="0.25">
      <c r="A1026" s="283" t="s">
        <v>247</v>
      </c>
      <c r="B1026" s="260">
        <v>45792</v>
      </c>
      <c r="C1026" s="261" t="s">
        <v>536</v>
      </c>
      <c r="D1026" s="261"/>
      <c r="E1026" s="262">
        <v>14400</v>
      </c>
      <c r="F1026" s="262">
        <v>0</v>
      </c>
      <c r="G1026" s="285">
        <f>Tabla3[[#This Row],[INGRESOS]]-Tabla3[[#This Row],[EGRESOS]]</f>
        <v>-14400</v>
      </c>
      <c r="H1026" s="137">
        <v>37062803.399999999</v>
      </c>
      <c r="I1026" s="135">
        <v>1170</v>
      </c>
      <c r="J1026" s="136">
        <f>Tabla3[[#This Row],[EGRESOS]]/Tabla3[[#This Row],[TC]]</f>
        <v>12.307692307692308</v>
      </c>
      <c r="K1026" s="136">
        <f>Tabla3[[#This Row],[INGRESOS]]/Tabla3[[#This Row],[TC]]</f>
        <v>0</v>
      </c>
      <c r="L1026" s="8" t="s">
        <v>303</v>
      </c>
      <c r="M1026" s="8" t="s">
        <v>304</v>
      </c>
      <c r="N1026" s="8" t="s">
        <v>20</v>
      </c>
      <c r="O1026" s="8" t="s">
        <v>184</v>
      </c>
      <c r="P1026" s="8" t="s">
        <v>185</v>
      </c>
      <c r="Q1026" s="8" t="s">
        <v>186</v>
      </c>
      <c r="R1026" s="8"/>
      <c r="S1026" s="8"/>
      <c r="T1026" s="8"/>
      <c r="U1026" s="8" t="s">
        <v>261</v>
      </c>
      <c r="V1026" s="8"/>
      <c r="W1026" s="8" t="s">
        <v>306</v>
      </c>
      <c r="X1026" s="8" t="s">
        <v>98</v>
      </c>
      <c r="Y1026" s="8" t="s">
        <v>23</v>
      </c>
    </row>
    <row r="1027" spans="1:25" hidden="1" x14ac:dyDescent="0.25">
      <c r="A1027" s="283" t="s">
        <v>247</v>
      </c>
      <c r="B1027" s="260">
        <v>45792</v>
      </c>
      <c r="C1027" s="261" t="s">
        <v>637</v>
      </c>
      <c r="D1027" s="261"/>
      <c r="E1027" s="262">
        <v>349067.95</v>
      </c>
      <c r="F1027" s="262">
        <v>0</v>
      </c>
      <c r="G1027" s="285">
        <f>Tabla3[[#This Row],[INGRESOS]]-Tabla3[[#This Row],[EGRESOS]]</f>
        <v>-349067.95</v>
      </c>
      <c r="H1027" s="137">
        <v>36713735.450000003</v>
      </c>
      <c r="I1027" s="135">
        <v>1170</v>
      </c>
      <c r="J1027" s="136">
        <f>Tabla3[[#This Row],[EGRESOS]]/Tabla3[[#This Row],[TC]]</f>
        <v>298.34867521367522</v>
      </c>
      <c r="K1027" s="136">
        <f>Tabla3[[#This Row],[INGRESOS]]/Tabla3[[#This Row],[TC]]</f>
        <v>0</v>
      </c>
      <c r="L1027" s="8" t="s">
        <v>303</v>
      </c>
      <c r="M1027" s="8" t="s">
        <v>304</v>
      </c>
      <c r="N1027" s="8" t="s">
        <v>20</v>
      </c>
      <c r="O1027" s="8" t="s">
        <v>184</v>
      </c>
      <c r="P1027" s="8" t="s">
        <v>187</v>
      </c>
      <c r="Q1027" s="8" t="s">
        <v>188</v>
      </c>
      <c r="R1027" s="8" t="s">
        <v>317</v>
      </c>
      <c r="S1027" s="8"/>
      <c r="T1027" s="8"/>
      <c r="U1027" s="8" t="s">
        <v>261</v>
      </c>
      <c r="V1027" s="8"/>
      <c r="W1027" s="8" t="s">
        <v>306</v>
      </c>
      <c r="X1027" s="8" t="s">
        <v>98</v>
      </c>
      <c r="Y1027" s="8" t="s">
        <v>23</v>
      </c>
    </row>
    <row r="1028" spans="1:25" hidden="1" x14ac:dyDescent="0.25">
      <c r="A1028" s="283" t="s">
        <v>247</v>
      </c>
      <c r="B1028" s="260">
        <v>45792</v>
      </c>
      <c r="C1028" s="261" t="s">
        <v>637</v>
      </c>
      <c r="D1028" s="261"/>
      <c r="E1028" s="262">
        <v>1607.14</v>
      </c>
      <c r="F1028" s="262">
        <v>0</v>
      </c>
      <c r="G1028" s="285">
        <f>Tabla3[[#This Row],[INGRESOS]]-Tabla3[[#This Row],[EGRESOS]]</f>
        <v>-1607.14</v>
      </c>
      <c r="H1028" s="137">
        <v>36712128.310000002</v>
      </c>
      <c r="I1028" s="135">
        <v>1170</v>
      </c>
      <c r="J1028" s="136">
        <f>Tabla3[[#This Row],[EGRESOS]]/Tabla3[[#This Row],[TC]]</f>
        <v>1.3736239316239318</v>
      </c>
      <c r="K1028" s="136">
        <f>Tabla3[[#This Row],[INGRESOS]]/Tabla3[[#This Row],[TC]]</f>
        <v>0</v>
      </c>
      <c r="L1028" s="8" t="s">
        <v>303</v>
      </c>
      <c r="M1028" s="8" t="s">
        <v>304</v>
      </c>
      <c r="N1028" s="8" t="s">
        <v>20</v>
      </c>
      <c r="O1028" s="8" t="s">
        <v>184</v>
      </c>
      <c r="P1028" s="8" t="s">
        <v>187</v>
      </c>
      <c r="Q1028" s="8" t="s">
        <v>188</v>
      </c>
      <c r="R1028" s="8" t="s">
        <v>317</v>
      </c>
      <c r="S1028" s="8"/>
      <c r="T1028" s="8"/>
      <c r="U1028" s="8" t="s">
        <v>261</v>
      </c>
      <c r="V1028" s="8"/>
      <c r="W1028" s="8" t="s">
        <v>306</v>
      </c>
      <c r="X1028" s="8" t="s">
        <v>98</v>
      </c>
      <c r="Y1028" s="8" t="s">
        <v>23</v>
      </c>
    </row>
    <row r="1029" spans="1:25" x14ac:dyDescent="0.25">
      <c r="A1029" s="283" t="s">
        <v>247</v>
      </c>
      <c r="B1029" s="260">
        <v>45793</v>
      </c>
      <c r="C1029" s="261" t="s">
        <v>521</v>
      </c>
      <c r="D1029" s="261" t="s">
        <v>701</v>
      </c>
      <c r="E1029" s="262">
        <v>1473485</v>
      </c>
      <c r="F1029" s="262">
        <v>0</v>
      </c>
      <c r="G1029" s="285">
        <f>Tabla3[[#This Row],[INGRESOS]]-Tabla3[[#This Row],[EGRESOS]]</f>
        <v>-1473485</v>
      </c>
      <c r="H1029" s="285">
        <v>35238643.310000002</v>
      </c>
      <c r="I1029" s="135">
        <v>1170</v>
      </c>
      <c r="J1029" s="136">
        <f>Tabla3[[#This Row],[EGRESOS]]/Tabla3[[#This Row],[TC]]</f>
        <v>1259.3888888888889</v>
      </c>
      <c r="K1029" s="136">
        <f>Tabla3[[#This Row],[INGRESOS]]/Tabla3[[#This Row],[TC]]</f>
        <v>0</v>
      </c>
      <c r="L1029" s="8" t="s">
        <v>303</v>
      </c>
      <c r="M1029" s="8" t="s">
        <v>304</v>
      </c>
      <c r="N1029" s="8" t="s">
        <v>20</v>
      </c>
      <c r="O1029" s="8" t="s">
        <v>742</v>
      </c>
      <c r="P1029" s="8" t="s">
        <v>220</v>
      </c>
      <c r="Q1029" s="8" t="s">
        <v>231</v>
      </c>
      <c r="R1029" s="8" t="s">
        <v>142</v>
      </c>
      <c r="S1029" s="8" t="s">
        <v>625</v>
      </c>
      <c r="T1029" s="8"/>
      <c r="U1029" s="8" t="s">
        <v>258</v>
      </c>
      <c r="V1029" s="8"/>
      <c r="W1029" s="8" t="s">
        <v>306</v>
      </c>
      <c r="X1029" s="8" t="s">
        <v>29</v>
      </c>
      <c r="Y1029" s="8" t="s">
        <v>23</v>
      </c>
    </row>
    <row r="1030" spans="1:25" hidden="1" x14ac:dyDescent="0.25">
      <c r="A1030" s="283" t="s">
        <v>247</v>
      </c>
      <c r="B1030" s="260">
        <v>45793</v>
      </c>
      <c r="C1030" s="261" t="s">
        <v>323</v>
      </c>
      <c r="D1030" s="261"/>
      <c r="E1030" s="262">
        <v>1600000</v>
      </c>
      <c r="F1030" s="262">
        <v>0</v>
      </c>
      <c r="G1030" s="285">
        <f>Tabla3[[#This Row],[INGRESOS]]-Tabla3[[#This Row],[EGRESOS]]</f>
        <v>-1600000</v>
      </c>
      <c r="H1030" s="285">
        <v>33638643.310000002</v>
      </c>
      <c r="I1030" s="135">
        <v>1170</v>
      </c>
      <c r="J1030" s="136">
        <f>Tabla3[[#This Row],[EGRESOS]]/Tabla3[[#This Row],[TC]]</f>
        <v>1367.5213675213674</v>
      </c>
      <c r="K1030" s="136">
        <f>Tabla3[[#This Row],[INGRESOS]]/Tabla3[[#This Row],[TC]]</f>
        <v>0</v>
      </c>
      <c r="L1030" s="8" t="s">
        <v>303</v>
      </c>
      <c r="M1030" s="8" t="s">
        <v>304</v>
      </c>
      <c r="N1030" s="8" t="s">
        <v>20</v>
      </c>
      <c r="O1030" s="8" t="s">
        <v>214</v>
      </c>
      <c r="P1030" s="8" t="s">
        <v>216</v>
      </c>
      <c r="Q1030" s="8" t="s">
        <v>217</v>
      </c>
      <c r="R1030" s="8" t="s">
        <v>686</v>
      </c>
      <c r="S1030" s="8"/>
      <c r="T1030" s="8"/>
      <c r="U1030" s="8" t="s">
        <v>262</v>
      </c>
      <c r="V1030" s="8"/>
      <c r="W1030" s="8"/>
      <c r="X1030" s="8"/>
      <c r="Y1030" s="8"/>
    </row>
    <row r="1031" spans="1:25" hidden="1" x14ac:dyDescent="0.25">
      <c r="A1031" s="283" t="s">
        <v>247</v>
      </c>
      <c r="B1031" s="260">
        <v>45793</v>
      </c>
      <c r="C1031" s="261" t="s">
        <v>571</v>
      </c>
      <c r="D1031" s="261"/>
      <c r="E1031" s="262">
        <v>121</v>
      </c>
      <c r="F1031" s="262">
        <v>0</v>
      </c>
      <c r="G1031" s="285">
        <f>Tabla3[[#This Row],[INGRESOS]]-Tabla3[[#This Row],[EGRESOS]]</f>
        <v>-121</v>
      </c>
      <c r="H1031" s="285">
        <v>33638522.310000002</v>
      </c>
      <c r="I1031" s="135">
        <v>1170</v>
      </c>
      <c r="J1031" s="136">
        <f>Tabla3[[#This Row],[EGRESOS]]/Tabla3[[#This Row],[TC]]</f>
        <v>0.10341880341880341</v>
      </c>
      <c r="K1031" s="136">
        <f>Tabla3[[#This Row],[INGRESOS]]/Tabla3[[#This Row],[TC]]</f>
        <v>0</v>
      </c>
      <c r="L1031" s="8" t="s">
        <v>303</v>
      </c>
      <c r="M1031" s="8" t="s">
        <v>304</v>
      </c>
      <c r="N1031" s="8" t="s">
        <v>20</v>
      </c>
      <c r="O1031" s="8" t="s">
        <v>184</v>
      </c>
      <c r="P1031" s="8" t="s">
        <v>185</v>
      </c>
      <c r="Q1031" s="8" t="s">
        <v>186</v>
      </c>
      <c r="R1031" s="8"/>
      <c r="S1031" s="8"/>
      <c r="T1031" s="8"/>
      <c r="U1031" s="8" t="s">
        <v>261</v>
      </c>
      <c r="V1031" s="8"/>
      <c r="W1031" s="8" t="s">
        <v>306</v>
      </c>
      <c r="X1031" s="8" t="s">
        <v>98</v>
      </c>
      <c r="Y1031" s="8" t="s">
        <v>23</v>
      </c>
    </row>
    <row r="1032" spans="1:25" hidden="1" x14ac:dyDescent="0.25">
      <c r="A1032" s="283" t="s">
        <v>247</v>
      </c>
      <c r="B1032" s="260">
        <v>45793</v>
      </c>
      <c r="C1032" s="261" t="s">
        <v>542</v>
      </c>
      <c r="D1032" s="261"/>
      <c r="E1032" s="262">
        <v>501925.22</v>
      </c>
      <c r="F1032" s="262">
        <v>0</v>
      </c>
      <c r="G1032" s="285">
        <f>Tabla3[[#This Row],[INGRESOS]]-Tabla3[[#This Row],[EGRESOS]]</f>
        <v>-501925.22</v>
      </c>
      <c r="H1032" s="285">
        <v>33136597.09</v>
      </c>
      <c r="I1032" s="135">
        <v>1170</v>
      </c>
      <c r="J1032" s="136">
        <f>Tabla3[[#This Row],[EGRESOS]]/Tabla3[[#This Row],[TC]]</f>
        <v>428.9959145299145</v>
      </c>
      <c r="K1032" s="136">
        <f>Tabla3[[#This Row],[INGRESOS]]/Tabla3[[#This Row],[TC]]</f>
        <v>0</v>
      </c>
      <c r="L1032" s="8" t="s">
        <v>303</v>
      </c>
      <c r="M1032" s="8" t="s">
        <v>304</v>
      </c>
      <c r="N1032" s="8" t="s">
        <v>20</v>
      </c>
      <c r="O1032" s="8" t="s">
        <v>204</v>
      </c>
      <c r="P1032" s="8" t="s">
        <v>210</v>
      </c>
      <c r="Q1032" s="8" t="s">
        <v>211</v>
      </c>
      <c r="R1032" s="8"/>
      <c r="S1032" s="8" t="s">
        <v>593</v>
      </c>
      <c r="T1032" s="8"/>
      <c r="U1032" s="8" t="s">
        <v>258</v>
      </c>
      <c r="V1032" s="8"/>
      <c r="W1032" s="8" t="s">
        <v>306</v>
      </c>
      <c r="X1032" s="8" t="s">
        <v>29</v>
      </c>
      <c r="Y1032" s="8" t="s">
        <v>23</v>
      </c>
    </row>
    <row r="1033" spans="1:25" hidden="1" x14ac:dyDescent="0.25">
      <c r="A1033" s="283" t="s">
        <v>247</v>
      </c>
      <c r="B1033" s="260">
        <v>45793</v>
      </c>
      <c r="C1033" s="261" t="s">
        <v>571</v>
      </c>
      <c r="D1033" s="261"/>
      <c r="E1033" s="262">
        <v>121</v>
      </c>
      <c r="F1033" s="262">
        <v>0</v>
      </c>
      <c r="G1033" s="285">
        <f>Tabla3[[#This Row],[INGRESOS]]-Tabla3[[#This Row],[EGRESOS]]</f>
        <v>-121</v>
      </c>
      <c r="H1033" s="285">
        <v>33136476.09</v>
      </c>
      <c r="I1033" s="135">
        <v>1170</v>
      </c>
      <c r="J1033" s="136">
        <f>Tabla3[[#This Row],[EGRESOS]]/Tabla3[[#This Row],[TC]]</f>
        <v>0.10341880341880341</v>
      </c>
      <c r="K1033" s="136">
        <f>Tabla3[[#This Row],[INGRESOS]]/Tabla3[[#This Row],[TC]]</f>
        <v>0</v>
      </c>
      <c r="L1033" s="8" t="s">
        <v>303</v>
      </c>
      <c r="M1033" s="8" t="s">
        <v>304</v>
      </c>
      <c r="N1033" s="8" t="s">
        <v>20</v>
      </c>
      <c r="O1033" s="8" t="s">
        <v>184</v>
      </c>
      <c r="P1033" s="8" t="s">
        <v>185</v>
      </c>
      <c r="Q1033" s="8" t="s">
        <v>186</v>
      </c>
      <c r="R1033" s="8"/>
      <c r="S1033" s="8"/>
      <c r="T1033" s="8"/>
      <c r="U1033" s="8" t="s">
        <v>261</v>
      </c>
      <c r="V1033" s="8"/>
      <c r="W1033" s="8" t="s">
        <v>306</v>
      </c>
      <c r="X1033" s="8" t="s">
        <v>98</v>
      </c>
      <c r="Y1033" s="8" t="s">
        <v>23</v>
      </c>
    </row>
    <row r="1034" spans="1:25" hidden="1" x14ac:dyDescent="0.25">
      <c r="A1034" s="283" t="s">
        <v>247</v>
      </c>
      <c r="B1034" s="260">
        <v>45793</v>
      </c>
      <c r="C1034" s="261" t="s">
        <v>542</v>
      </c>
      <c r="D1034" s="261"/>
      <c r="E1034" s="262">
        <v>26257</v>
      </c>
      <c r="F1034" s="262">
        <v>0</v>
      </c>
      <c r="G1034" s="285">
        <f>Tabla3[[#This Row],[INGRESOS]]-Tabla3[[#This Row],[EGRESOS]]</f>
        <v>-26257</v>
      </c>
      <c r="H1034" s="285">
        <v>33110219.09</v>
      </c>
      <c r="I1034" s="135">
        <v>1170</v>
      </c>
      <c r="J1034" s="136">
        <f>Tabla3[[#This Row],[EGRESOS]]/Tabla3[[#This Row],[TC]]</f>
        <v>22.441880341880342</v>
      </c>
      <c r="K1034" s="136">
        <f>Tabla3[[#This Row],[INGRESOS]]/Tabla3[[#This Row],[TC]]</f>
        <v>0</v>
      </c>
      <c r="L1034" s="8" t="s">
        <v>303</v>
      </c>
      <c r="M1034" s="8" t="s">
        <v>304</v>
      </c>
      <c r="N1034" s="8" t="s">
        <v>20</v>
      </c>
      <c r="O1034" s="8" t="s">
        <v>204</v>
      </c>
      <c r="P1034" s="8" t="s">
        <v>210</v>
      </c>
      <c r="Q1034" s="8" t="s">
        <v>211</v>
      </c>
      <c r="R1034" s="8"/>
      <c r="S1034" s="8" t="s">
        <v>555</v>
      </c>
      <c r="T1034" s="8"/>
      <c r="U1034" s="8" t="s">
        <v>258</v>
      </c>
      <c r="V1034" s="8"/>
      <c r="W1034" s="8" t="s">
        <v>306</v>
      </c>
      <c r="X1034" s="8" t="s">
        <v>29</v>
      </c>
      <c r="Y1034" s="8" t="s">
        <v>23</v>
      </c>
    </row>
    <row r="1035" spans="1:25" hidden="1" x14ac:dyDescent="0.25">
      <c r="A1035" s="283" t="s">
        <v>247</v>
      </c>
      <c r="B1035" s="260">
        <v>45793</v>
      </c>
      <c r="C1035" s="261" t="s">
        <v>542</v>
      </c>
      <c r="D1035" s="261"/>
      <c r="E1035" s="262">
        <v>4700000</v>
      </c>
      <c r="F1035" s="262">
        <v>0</v>
      </c>
      <c r="G1035" s="285">
        <f>Tabla3[[#This Row],[INGRESOS]]-Tabla3[[#This Row],[EGRESOS]]</f>
        <v>-4700000</v>
      </c>
      <c r="H1035" s="285">
        <v>28410219.09</v>
      </c>
      <c r="I1035" s="135">
        <v>1170</v>
      </c>
      <c r="J1035" s="136">
        <f>Tabla3[[#This Row],[EGRESOS]]/Tabla3[[#This Row],[TC]]</f>
        <v>4017.0940170940171</v>
      </c>
      <c r="K1035" s="136">
        <f>Tabla3[[#This Row],[INGRESOS]]/Tabla3[[#This Row],[TC]]</f>
        <v>0</v>
      </c>
      <c r="L1035" s="8" t="s">
        <v>303</v>
      </c>
      <c r="M1035" s="8" t="s">
        <v>304</v>
      </c>
      <c r="N1035" s="8" t="s">
        <v>20</v>
      </c>
      <c r="O1035" s="8" t="s">
        <v>184</v>
      </c>
      <c r="P1035" s="8" t="s">
        <v>237</v>
      </c>
      <c r="Q1035" s="8" t="s">
        <v>248</v>
      </c>
      <c r="R1035" s="8"/>
      <c r="S1035" s="8" t="s">
        <v>365</v>
      </c>
      <c r="T1035" s="8"/>
      <c r="U1035" s="8" t="s">
        <v>273</v>
      </c>
      <c r="V1035" s="8"/>
      <c r="W1035" s="8" t="s">
        <v>306</v>
      </c>
      <c r="X1035" s="8" t="s">
        <v>45</v>
      </c>
      <c r="Y1035" s="8" t="s">
        <v>23</v>
      </c>
    </row>
    <row r="1036" spans="1:25" hidden="1" x14ac:dyDescent="0.25">
      <c r="A1036" s="283" t="s">
        <v>247</v>
      </c>
      <c r="B1036" s="260">
        <v>45793</v>
      </c>
      <c r="C1036" s="261" t="s">
        <v>571</v>
      </c>
      <c r="D1036" s="261"/>
      <c r="E1036" s="262">
        <v>121</v>
      </c>
      <c r="F1036" s="262">
        <v>0</v>
      </c>
      <c r="G1036" s="285">
        <f>Tabla3[[#This Row],[INGRESOS]]-Tabla3[[#This Row],[EGRESOS]]</f>
        <v>-121</v>
      </c>
      <c r="H1036" s="285">
        <v>28410098.09</v>
      </c>
      <c r="I1036" s="135">
        <v>1170</v>
      </c>
      <c r="J1036" s="136">
        <f>Tabla3[[#This Row],[EGRESOS]]/Tabla3[[#This Row],[TC]]</f>
        <v>0.10341880341880341</v>
      </c>
      <c r="K1036" s="136">
        <f>Tabla3[[#This Row],[INGRESOS]]/Tabla3[[#This Row],[TC]]</f>
        <v>0</v>
      </c>
      <c r="L1036" s="8" t="s">
        <v>303</v>
      </c>
      <c r="M1036" s="8" t="s">
        <v>304</v>
      </c>
      <c r="N1036" s="8" t="s">
        <v>20</v>
      </c>
      <c r="O1036" s="8" t="s">
        <v>184</v>
      </c>
      <c r="P1036" s="8" t="s">
        <v>185</v>
      </c>
      <c r="Q1036" s="8" t="s">
        <v>186</v>
      </c>
      <c r="R1036" s="8"/>
      <c r="S1036" s="8"/>
      <c r="T1036" s="8"/>
      <c r="U1036" s="8" t="s">
        <v>261</v>
      </c>
      <c r="V1036" s="8"/>
      <c r="W1036" s="8" t="s">
        <v>306</v>
      </c>
      <c r="X1036" s="8" t="s">
        <v>98</v>
      </c>
      <c r="Y1036" s="8" t="s">
        <v>23</v>
      </c>
    </row>
    <row r="1037" spans="1:25" hidden="1" x14ac:dyDescent="0.25">
      <c r="A1037" s="283" t="s">
        <v>247</v>
      </c>
      <c r="B1037" s="260">
        <v>45793</v>
      </c>
      <c r="C1037" s="261" t="s">
        <v>542</v>
      </c>
      <c r="D1037" s="261"/>
      <c r="E1037" s="262">
        <v>1000000</v>
      </c>
      <c r="F1037" s="262">
        <v>0</v>
      </c>
      <c r="G1037" s="285">
        <f>Tabla3[[#This Row],[INGRESOS]]-Tabla3[[#This Row],[EGRESOS]]</f>
        <v>-1000000</v>
      </c>
      <c r="H1037" s="285">
        <v>27410098.09</v>
      </c>
      <c r="I1037" s="135">
        <v>1170</v>
      </c>
      <c r="J1037" s="136">
        <f>Tabla3[[#This Row],[EGRESOS]]/Tabla3[[#This Row],[TC]]</f>
        <v>854.70085470085473</v>
      </c>
      <c r="K1037" s="136">
        <f>Tabla3[[#This Row],[INGRESOS]]/Tabla3[[#This Row],[TC]]</f>
        <v>0</v>
      </c>
      <c r="L1037" s="8" t="s">
        <v>303</v>
      </c>
      <c r="M1037" s="8" t="s">
        <v>304</v>
      </c>
      <c r="N1037" s="8" t="s">
        <v>20</v>
      </c>
      <c r="O1037" s="8" t="s">
        <v>184</v>
      </c>
      <c r="P1037" s="8" t="s">
        <v>194</v>
      </c>
      <c r="Q1037" s="8" t="s">
        <v>196</v>
      </c>
      <c r="R1037" s="8"/>
      <c r="S1037" s="8" t="s">
        <v>311</v>
      </c>
      <c r="T1037" s="8"/>
      <c r="U1037" s="8" t="s">
        <v>277</v>
      </c>
      <c r="V1037" s="8" t="s">
        <v>311</v>
      </c>
      <c r="W1037" s="8" t="s">
        <v>306</v>
      </c>
      <c r="X1037" s="8" t="s">
        <v>103</v>
      </c>
      <c r="Y1037" s="8" t="s">
        <v>23</v>
      </c>
    </row>
    <row r="1038" spans="1:25" hidden="1" x14ac:dyDescent="0.25">
      <c r="A1038" s="283" t="s">
        <v>247</v>
      </c>
      <c r="B1038" s="260">
        <v>45793</v>
      </c>
      <c r="C1038" s="261" t="s">
        <v>571</v>
      </c>
      <c r="D1038" s="261"/>
      <c r="E1038" s="262">
        <v>121</v>
      </c>
      <c r="F1038" s="262">
        <v>0</v>
      </c>
      <c r="G1038" s="285">
        <f>Tabla3[[#This Row],[INGRESOS]]-Tabla3[[#This Row],[EGRESOS]]</f>
        <v>-121</v>
      </c>
      <c r="H1038" s="285">
        <v>27409977.09</v>
      </c>
      <c r="I1038" s="135">
        <v>1170</v>
      </c>
      <c r="J1038" s="136">
        <f>Tabla3[[#This Row],[EGRESOS]]/Tabla3[[#This Row],[TC]]</f>
        <v>0.10341880341880341</v>
      </c>
      <c r="K1038" s="136">
        <f>Tabla3[[#This Row],[INGRESOS]]/Tabla3[[#This Row],[TC]]</f>
        <v>0</v>
      </c>
      <c r="L1038" s="8" t="s">
        <v>303</v>
      </c>
      <c r="M1038" s="8" t="s">
        <v>304</v>
      </c>
      <c r="N1038" s="8" t="s">
        <v>20</v>
      </c>
      <c r="O1038" s="8" t="s">
        <v>184</v>
      </c>
      <c r="P1038" s="8" t="s">
        <v>185</v>
      </c>
      <c r="Q1038" s="8" t="s">
        <v>186</v>
      </c>
      <c r="R1038" s="8"/>
      <c r="S1038" s="8"/>
      <c r="T1038" s="8"/>
      <c r="U1038" s="8" t="s">
        <v>261</v>
      </c>
      <c r="V1038" s="8"/>
      <c r="W1038" s="8" t="s">
        <v>306</v>
      </c>
      <c r="X1038" s="8" t="s">
        <v>98</v>
      </c>
      <c r="Y1038" s="8" t="s">
        <v>23</v>
      </c>
    </row>
    <row r="1039" spans="1:25" hidden="1" x14ac:dyDescent="0.25">
      <c r="A1039" s="283" t="s">
        <v>247</v>
      </c>
      <c r="B1039" s="260">
        <v>45793</v>
      </c>
      <c r="C1039" s="261" t="s">
        <v>637</v>
      </c>
      <c r="D1039" s="261"/>
      <c r="E1039" s="262">
        <v>46212.92</v>
      </c>
      <c r="F1039" s="262">
        <v>0</v>
      </c>
      <c r="G1039" s="285">
        <f>Tabla3[[#This Row],[INGRESOS]]-Tabla3[[#This Row],[EGRESOS]]</f>
        <v>-46212.92</v>
      </c>
      <c r="H1039" s="285">
        <v>27363764.170000002</v>
      </c>
      <c r="I1039" s="135">
        <v>1170</v>
      </c>
      <c r="J1039" s="136">
        <f>Tabla3[[#This Row],[EGRESOS]]/Tabla3[[#This Row],[TC]]</f>
        <v>39.498222222222218</v>
      </c>
      <c r="K1039" s="136">
        <f>Tabla3[[#This Row],[INGRESOS]]/Tabla3[[#This Row],[TC]]</f>
        <v>0</v>
      </c>
      <c r="L1039" s="8" t="s">
        <v>303</v>
      </c>
      <c r="M1039" s="8" t="s">
        <v>304</v>
      </c>
      <c r="N1039" s="8" t="s">
        <v>20</v>
      </c>
      <c r="O1039" s="8" t="s">
        <v>184</v>
      </c>
      <c r="P1039" s="8" t="s">
        <v>187</v>
      </c>
      <c r="Q1039" s="8" t="s">
        <v>188</v>
      </c>
      <c r="R1039" s="8" t="s">
        <v>317</v>
      </c>
      <c r="S1039" s="8"/>
      <c r="T1039" s="8"/>
      <c r="U1039" s="8" t="s">
        <v>261</v>
      </c>
      <c r="V1039" s="8"/>
      <c r="W1039" s="8" t="s">
        <v>306</v>
      </c>
      <c r="X1039" s="8" t="s">
        <v>98</v>
      </c>
      <c r="Y1039" s="8" t="s">
        <v>23</v>
      </c>
    </row>
    <row r="1040" spans="1:25" hidden="1" x14ac:dyDescent="0.25">
      <c r="A1040" s="283" t="s">
        <v>247</v>
      </c>
      <c r="B1040" s="260">
        <v>45793</v>
      </c>
      <c r="C1040" s="261" t="s">
        <v>537</v>
      </c>
      <c r="D1040" s="261"/>
      <c r="E1040" s="262">
        <v>1646260.62</v>
      </c>
      <c r="F1040" s="262">
        <v>0</v>
      </c>
      <c r="G1040" s="285">
        <f>Tabla3[[#This Row],[INGRESOS]]-Tabla3[[#This Row],[EGRESOS]]</f>
        <v>-1646260.62</v>
      </c>
      <c r="H1040" s="285">
        <v>25717503.550000001</v>
      </c>
      <c r="I1040" s="135">
        <v>1170</v>
      </c>
      <c r="J1040" s="136">
        <f>Tabla3[[#This Row],[EGRESOS]]/Tabla3[[#This Row],[TC]]</f>
        <v>1407.0603589743591</v>
      </c>
      <c r="K1040" s="136">
        <f>Tabla3[[#This Row],[INGRESOS]]/Tabla3[[#This Row],[TC]]</f>
        <v>0</v>
      </c>
      <c r="L1040" s="8" t="s">
        <v>303</v>
      </c>
      <c r="M1040" s="8" t="s">
        <v>304</v>
      </c>
      <c r="N1040" s="8" t="s">
        <v>20</v>
      </c>
      <c r="O1040" s="8" t="s">
        <v>214</v>
      </c>
      <c r="P1040" s="8" t="s">
        <v>216</v>
      </c>
      <c r="Q1040" s="8" t="s">
        <v>217</v>
      </c>
      <c r="R1040" s="8" t="s">
        <v>546</v>
      </c>
      <c r="S1040" s="8"/>
      <c r="T1040" s="8"/>
      <c r="U1040" s="8" t="s">
        <v>262</v>
      </c>
      <c r="V1040" s="8"/>
      <c r="W1040" s="8"/>
      <c r="X1040" s="8"/>
      <c r="Y1040" s="8"/>
    </row>
    <row r="1041" spans="1:25" hidden="1" x14ac:dyDescent="0.25">
      <c r="A1041" s="283" t="s">
        <v>247</v>
      </c>
      <c r="B1041" s="260">
        <v>45796</v>
      </c>
      <c r="C1041" s="261" t="s">
        <v>542</v>
      </c>
      <c r="D1041" s="261"/>
      <c r="E1041" s="262">
        <v>860000</v>
      </c>
      <c r="F1041" s="262">
        <v>0</v>
      </c>
      <c r="G1041" s="285">
        <f>Tabla3[[#This Row],[INGRESOS]]-Tabla3[[#This Row],[EGRESOS]]</f>
        <v>-860000</v>
      </c>
      <c r="H1041" s="285">
        <v>22551213.379999999</v>
      </c>
      <c r="I1041" s="135">
        <v>1170</v>
      </c>
      <c r="J1041" s="136">
        <f>Tabla3[[#This Row],[EGRESOS]]/Tabla3[[#This Row],[TC]]</f>
        <v>735.04273504273499</v>
      </c>
      <c r="K1041" s="136">
        <f>Tabla3[[#This Row],[INGRESOS]]/Tabla3[[#This Row],[TC]]</f>
        <v>0</v>
      </c>
      <c r="L1041" s="8" t="s">
        <v>303</v>
      </c>
      <c r="M1041" s="8" t="s">
        <v>304</v>
      </c>
      <c r="N1041" s="8" t="s">
        <v>20</v>
      </c>
      <c r="O1041" s="8" t="s">
        <v>184</v>
      </c>
      <c r="P1041" s="8" t="s">
        <v>194</v>
      </c>
      <c r="Q1041" s="8" t="s">
        <v>196</v>
      </c>
      <c r="R1041" s="8" t="s">
        <v>705</v>
      </c>
      <c r="S1041" s="8" t="s">
        <v>331</v>
      </c>
      <c r="T1041" s="8"/>
      <c r="U1041" s="8" t="s">
        <v>267</v>
      </c>
      <c r="V1041" s="8" t="s">
        <v>332</v>
      </c>
      <c r="W1041" s="8" t="s">
        <v>306</v>
      </c>
      <c r="X1041" s="8" t="s">
        <v>101</v>
      </c>
      <c r="Y1041" s="8" t="s">
        <v>23</v>
      </c>
    </row>
    <row r="1042" spans="1:25" x14ac:dyDescent="0.25">
      <c r="A1042" s="283" t="s">
        <v>247</v>
      </c>
      <c r="B1042" s="260">
        <v>45796</v>
      </c>
      <c r="C1042" s="261" t="s">
        <v>561</v>
      </c>
      <c r="D1042" s="261" t="s">
        <v>702</v>
      </c>
      <c r="E1042" s="262">
        <v>345300</v>
      </c>
      <c r="F1042" s="262">
        <v>0</v>
      </c>
      <c r="G1042" s="285">
        <f>Tabla3[[#This Row],[INGRESOS]]-Tabla3[[#This Row],[EGRESOS]]</f>
        <v>-345300</v>
      </c>
      <c r="H1042" s="285">
        <v>25372203.550000001</v>
      </c>
      <c r="I1042" s="135">
        <v>1170</v>
      </c>
      <c r="J1042" s="136">
        <f>Tabla3[[#This Row],[EGRESOS]]/Tabla3[[#This Row],[TC]]</f>
        <v>295.12820512820514</v>
      </c>
      <c r="K1042" s="136">
        <f>Tabla3[[#This Row],[INGRESOS]]/Tabla3[[#This Row],[TC]]</f>
        <v>0</v>
      </c>
      <c r="L1042" s="8" t="s">
        <v>303</v>
      </c>
      <c r="M1042" s="8" t="s">
        <v>304</v>
      </c>
      <c r="N1042" s="8" t="s">
        <v>20</v>
      </c>
      <c r="O1042" s="8" t="s">
        <v>742</v>
      </c>
      <c r="P1042" s="8" t="s">
        <v>220</v>
      </c>
      <c r="Q1042" s="8" t="s">
        <v>222</v>
      </c>
      <c r="R1042" s="8"/>
      <c r="S1042" s="8" t="s">
        <v>529</v>
      </c>
      <c r="T1042" s="8" t="s">
        <v>703</v>
      </c>
      <c r="U1042" s="8" t="s">
        <v>258</v>
      </c>
      <c r="V1042" s="8"/>
      <c r="W1042" s="8" t="s">
        <v>306</v>
      </c>
      <c r="X1042" s="8" t="s">
        <v>29</v>
      </c>
      <c r="Y1042" s="8" t="s">
        <v>23</v>
      </c>
    </row>
    <row r="1043" spans="1:25" hidden="1" x14ac:dyDescent="0.25">
      <c r="A1043" s="283" t="s">
        <v>247</v>
      </c>
      <c r="B1043" s="260">
        <v>45796</v>
      </c>
      <c r="C1043" s="261" t="s">
        <v>542</v>
      </c>
      <c r="D1043" s="261"/>
      <c r="E1043" s="262">
        <v>925558</v>
      </c>
      <c r="F1043" s="262">
        <v>0</v>
      </c>
      <c r="G1043" s="285">
        <f>Tabla3[[#This Row],[INGRESOS]]-Tabla3[[#This Row],[EGRESOS]]</f>
        <v>-925558</v>
      </c>
      <c r="H1043" s="285">
        <v>24446645.550000001</v>
      </c>
      <c r="I1043" s="135">
        <v>1170</v>
      </c>
      <c r="J1043" s="136">
        <f>Tabla3[[#This Row],[EGRESOS]]/Tabla3[[#This Row],[TC]]</f>
        <v>791.07521367521372</v>
      </c>
      <c r="K1043" s="136">
        <f>Tabla3[[#This Row],[INGRESOS]]/Tabla3[[#This Row],[TC]]</f>
        <v>0</v>
      </c>
      <c r="L1043" s="8" t="s">
        <v>303</v>
      </c>
      <c r="M1043" s="8" t="s">
        <v>304</v>
      </c>
      <c r="N1043" s="8" t="s">
        <v>20</v>
      </c>
      <c r="O1043" s="8" t="s">
        <v>197</v>
      </c>
      <c r="P1043" s="8" t="s">
        <v>198</v>
      </c>
      <c r="Q1043" s="8" t="s">
        <v>199</v>
      </c>
      <c r="R1043" s="8" t="s">
        <v>226</v>
      </c>
      <c r="S1043" s="8" t="s">
        <v>319</v>
      </c>
      <c r="T1043" s="8" t="s">
        <v>704</v>
      </c>
      <c r="U1043" s="8" t="s">
        <v>258</v>
      </c>
      <c r="V1043" s="8"/>
      <c r="W1043" s="8" t="s">
        <v>306</v>
      </c>
      <c r="X1043" s="8" t="s">
        <v>29</v>
      </c>
      <c r="Y1043" s="8" t="s">
        <v>23</v>
      </c>
    </row>
    <row r="1044" spans="1:25" hidden="1" x14ac:dyDescent="0.25">
      <c r="A1044" s="283" t="s">
        <v>247</v>
      </c>
      <c r="B1044" s="260">
        <v>45796</v>
      </c>
      <c r="C1044" s="261" t="s">
        <v>571</v>
      </c>
      <c r="D1044" s="261"/>
      <c r="E1044" s="262">
        <v>121</v>
      </c>
      <c r="F1044" s="262">
        <v>0</v>
      </c>
      <c r="G1044" s="285">
        <f>Tabla3[[#This Row],[INGRESOS]]-Tabla3[[#This Row],[EGRESOS]]</f>
        <v>-121</v>
      </c>
      <c r="H1044" s="285">
        <v>24446524.550000001</v>
      </c>
      <c r="I1044" s="135">
        <v>1170</v>
      </c>
      <c r="J1044" s="136">
        <f>Tabla3[[#This Row],[EGRESOS]]/Tabla3[[#This Row],[TC]]</f>
        <v>0.10341880341880341</v>
      </c>
      <c r="K1044" s="136">
        <f>Tabla3[[#This Row],[INGRESOS]]/Tabla3[[#This Row],[TC]]</f>
        <v>0</v>
      </c>
      <c r="L1044" s="8" t="s">
        <v>303</v>
      </c>
      <c r="M1044" s="8" t="s">
        <v>304</v>
      </c>
      <c r="N1044" s="8" t="s">
        <v>20</v>
      </c>
      <c r="O1044" s="8" t="s">
        <v>184</v>
      </c>
      <c r="P1044" s="8" t="s">
        <v>185</v>
      </c>
      <c r="Q1044" s="8" t="s">
        <v>186</v>
      </c>
      <c r="R1044" s="8"/>
      <c r="S1044" s="8"/>
      <c r="T1044" s="8"/>
      <c r="U1044" s="8" t="s">
        <v>261</v>
      </c>
      <c r="V1044" s="8"/>
      <c r="W1044" s="8" t="s">
        <v>306</v>
      </c>
      <c r="X1044" s="8" t="s">
        <v>98</v>
      </c>
      <c r="Y1044" s="8" t="s">
        <v>23</v>
      </c>
    </row>
    <row r="1045" spans="1:25" hidden="1" x14ac:dyDescent="0.25">
      <c r="A1045" s="283" t="s">
        <v>247</v>
      </c>
      <c r="B1045" s="260">
        <v>45796</v>
      </c>
      <c r="C1045" s="261" t="s">
        <v>542</v>
      </c>
      <c r="D1045" s="261"/>
      <c r="E1045" s="262">
        <v>10000</v>
      </c>
      <c r="F1045" s="258">
        <v>0</v>
      </c>
      <c r="G1045" s="285">
        <f>Tabla3[[#This Row],[INGRESOS]]-Tabla3[[#This Row],[EGRESOS]]</f>
        <v>-10000</v>
      </c>
      <c r="H1045" s="285">
        <v>22551213.379999999</v>
      </c>
      <c r="I1045" s="135">
        <v>1170</v>
      </c>
      <c r="J1045" s="136">
        <f>Tabla3[[#This Row],[EGRESOS]]/Tabla3[[#This Row],[TC]]</f>
        <v>8.5470085470085468</v>
      </c>
      <c r="K1045" s="136">
        <f>Tabla3[[#This Row],[INGRESOS]]/Tabla3[[#This Row],[TC]]</f>
        <v>0</v>
      </c>
      <c r="L1045" s="8" t="s">
        <v>303</v>
      </c>
      <c r="M1045" s="8" t="s">
        <v>304</v>
      </c>
      <c r="N1045" s="8" t="s">
        <v>20</v>
      </c>
      <c r="O1045" s="8" t="s">
        <v>184</v>
      </c>
      <c r="P1045" s="8" t="s">
        <v>194</v>
      </c>
      <c r="Q1045" s="8" t="s">
        <v>248</v>
      </c>
      <c r="R1045" s="8" t="s">
        <v>721</v>
      </c>
      <c r="S1045" s="8" t="s">
        <v>331</v>
      </c>
      <c r="T1045" s="8"/>
      <c r="U1045" s="8" t="s">
        <v>267</v>
      </c>
      <c r="V1045" s="8" t="s">
        <v>332</v>
      </c>
      <c r="W1045" s="8" t="s">
        <v>306</v>
      </c>
      <c r="X1045" s="8" t="s">
        <v>101</v>
      </c>
      <c r="Y1045" s="8" t="s">
        <v>23</v>
      </c>
    </row>
    <row r="1046" spans="1:25" hidden="1" x14ac:dyDescent="0.25">
      <c r="A1046" s="283" t="s">
        <v>247</v>
      </c>
      <c r="B1046" s="260">
        <v>45796</v>
      </c>
      <c r="C1046" s="261" t="s">
        <v>542</v>
      </c>
      <c r="D1046" s="261"/>
      <c r="E1046" s="262">
        <v>1000000</v>
      </c>
      <c r="F1046" s="262">
        <v>0</v>
      </c>
      <c r="G1046" s="285">
        <f>Tabla3[[#This Row],[INGRESOS]]-Tabla3[[#This Row],[EGRESOS]]</f>
        <v>-1000000</v>
      </c>
      <c r="H1046" s="285">
        <v>22551213.379999999</v>
      </c>
      <c r="I1046" s="135">
        <v>1170</v>
      </c>
      <c r="J1046" s="136">
        <f>Tabla3[[#This Row],[EGRESOS]]/Tabla3[[#This Row],[TC]]</f>
        <v>854.70085470085473</v>
      </c>
      <c r="K1046" s="136">
        <f>Tabla3[[#This Row],[INGRESOS]]/Tabla3[[#This Row],[TC]]</f>
        <v>0</v>
      </c>
      <c r="L1046" s="8" t="s">
        <v>303</v>
      </c>
      <c r="M1046" s="8" t="s">
        <v>304</v>
      </c>
      <c r="N1046" s="8" t="s">
        <v>20</v>
      </c>
      <c r="O1046" s="8" t="s">
        <v>184</v>
      </c>
      <c r="P1046" s="8" t="s">
        <v>194</v>
      </c>
      <c r="Q1046" s="8" t="s">
        <v>196</v>
      </c>
      <c r="R1046" s="8" t="s">
        <v>247</v>
      </c>
      <c r="S1046" s="8" t="s">
        <v>331</v>
      </c>
      <c r="T1046" s="8"/>
      <c r="U1046" s="8" t="s">
        <v>267</v>
      </c>
      <c r="V1046" s="8" t="s">
        <v>332</v>
      </c>
      <c r="W1046" s="8" t="s">
        <v>306</v>
      </c>
      <c r="X1046" s="8" t="s">
        <v>101</v>
      </c>
      <c r="Y1046" s="8" t="s">
        <v>23</v>
      </c>
    </row>
    <row r="1047" spans="1:25" hidden="1" x14ac:dyDescent="0.25">
      <c r="A1047" s="283" t="s">
        <v>247</v>
      </c>
      <c r="B1047" s="260">
        <v>45796</v>
      </c>
      <c r="C1047" s="261" t="s">
        <v>542</v>
      </c>
      <c r="D1047" s="261"/>
      <c r="E1047" s="262">
        <v>17000</v>
      </c>
      <c r="F1047" s="262">
        <v>0</v>
      </c>
      <c r="G1047" s="285">
        <f>Tabla3[[#This Row],[INGRESOS]]-Tabla3[[#This Row],[EGRESOS]]</f>
        <v>-17000</v>
      </c>
      <c r="H1047" s="285">
        <v>22551213.379999999</v>
      </c>
      <c r="I1047" s="135">
        <v>1170</v>
      </c>
      <c r="J1047" s="136">
        <f>Tabla3[[#This Row],[EGRESOS]]/Tabla3[[#This Row],[TC]]</f>
        <v>14.52991452991453</v>
      </c>
      <c r="K1047" s="136">
        <f>Tabla3[[#This Row],[INGRESOS]]/Tabla3[[#This Row],[TC]]</f>
        <v>0</v>
      </c>
      <c r="L1047" s="8" t="s">
        <v>303</v>
      </c>
      <c r="M1047" s="8" t="s">
        <v>304</v>
      </c>
      <c r="N1047" s="8" t="s">
        <v>20</v>
      </c>
      <c r="O1047" s="8" t="s">
        <v>184</v>
      </c>
      <c r="P1047" s="8" t="s">
        <v>191</v>
      </c>
      <c r="Q1047" s="8" t="s">
        <v>193</v>
      </c>
      <c r="R1047" s="8" t="s">
        <v>706</v>
      </c>
      <c r="S1047" s="8" t="s">
        <v>313</v>
      </c>
      <c r="T1047" s="8"/>
      <c r="U1047" s="8" t="s">
        <v>266</v>
      </c>
      <c r="V1047" s="8"/>
      <c r="W1047" s="8" t="s">
        <v>306</v>
      </c>
      <c r="X1047" s="8" t="s">
        <v>98</v>
      </c>
      <c r="Y1047" s="8" t="s">
        <v>23</v>
      </c>
    </row>
    <row r="1048" spans="1:25" hidden="1" x14ac:dyDescent="0.25">
      <c r="A1048" s="283" t="s">
        <v>247</v>
      </c>
      <c r="B1048" s="260">
        <v>45796</v>
      </c>
      <c r="C1048" s="261" t="s">
        <v>542</v>
      </c>
      <c r="D1048" s="261"/>
      <c r="E1048" s="262">
        <v>5500</v>
      </c>
      <c r="F1048" s="262">
        <v>0</v>
      </c>
      <c r="G1048" s="285">
        <f>Tabla3[[#This Row],[INGRESOS]]-Tabla3[[#This Row],[EGRESOS]]</f>
        <v>-5500</v>
      </c>
      <c r="H1048" s="285">
        <v>22551213.379999999</v>
      </c>
      <c r="I1048" s="135">
        <v>1170</v>
      </c>
      <c r="J1048" s="136">
        <f>Tabla3[[#This Row],[EGRESOS]]/Tabla3[[#This Row],[TC]]</f>
        <v>4.700854700854701</v>
      </c>
      <c r="K1048" s="136">
        <f>Tabla3[[#This Row],[INGRESOS]]/Tabla3[[#This Row],[TC]]</f>
        <v>0</v>
      </c>
      <c r="L1048" s="8" t="s">
        <v>303</v>
      </c>
      <c r="M1048" s="8" t="s">
        <v>304</v>
      </c>
      <c r="N1048" s="8" t="s">
        <v>20</v>
      </c>
      <c r="O1048" s="8" t="s">
        <v>184</v>
      </c>
      <c r="P1048" s="8" t="s">
        <v>191</v>
      </c>
      <c r="Q1048" s="8" t="s">
        <v>193</v>
      </c>
      <c r="R1048" s="8" t="s">
        <v>707</v>
      </c>
      <c r="S1048" s="8" t="s">
        <v>315</v>
      </c>
      <c r="T1048" s="8"/>
      <c r="U1048" s="8" t="s">
        <v>266</v>
      </c>
      <c r="V1048" s="8"/>
      <c r="W1048" s="8" t="s">
        <v>306</v>
      </c>
      <c r="X1048" s="8" t="s">
        <v>98</v>
      </c>
      <c r="Y1048" s="8" t="s">
        <v>23</v>
      </c>
    </row>
    <row r="1049" spans="1:25" hidden="1" x14ac:dyDescent="0.25">
      <c r="A1049" s="283" t="s">
        <v>247</v>
      </c>
      <c r="B1049" s="260">
        <v>45796</v>
      </c>
      <c r="C1049" s="261" t="s">
        <v>542</v>
      </c>
      <c r="D1049" s="261"/>
      <c r="E1049" s="262">
        <v>2811.17</v>
      </c>
      <c r="F1049" s="262">
        <v>0</v>
      </c>
      <c r="G1049" s="285">
        <f>Tabla3[[#This Row],[INGRESOS]]-Tabla3[[#This Row],[EGRESOS]]</f>
        <v>-2811.17</v>
      </c>
      <c r="H1049" s="285">
        <v>22551213.379999999</v>
      </c>
      <c r="I1049" s="135">
        <v>1170</v>
      </c>
      <c r="J1049" s="136">
        <f>Tabla3[[#This Row],[EGRESOS]]/Tabla3[[#This Row],[TC]]</f>
        <v>2.4027094017094019</v>
      </c>
      <c r="K1049" s="136">
        <f>Tabla3[[#This Row],[INGRESOS]]/Tabla3[[#This Row],[TC]]</f>
        <v>0</v>
      </c>
      <c r="L1049" s="8" t="s">
        <v>303</v>
      </c>
      <c r="M1049" s="8" t="s">
        <v>304</v>
      </c>
      <c r="N1049" s="8" t="s">
        <v>20</v>
      </c>
      <c r="O1049" s="8" t="s">
        <v>184</v>
      </c>
      <c r="P1049" s="8" t="s">
        <v>191</v>
      </c>
      <c r="Q1049" s="8" t="s">
        <v>193</v>
      </c>
      <c r="R1049" s="8" t="s">
        <v>708</v>
      </c>
      <c r="S1049" s="8" t="s">
        <v>315</v>
      </c>
      <c r="T1049" s="8"/>
      <c r="U1049" s="8" t="s">
        <v>266</v>
      </c>
      <c r="V1049" s="8"/>
      <c r="W1049" s="8" t="s">
        <v>306</v>
      </c>
      <c r="X1049" s="8" t="s">
        <v>98</v>
      </c>
      <c r="Y1049" s="8" t="s">
        <v>23</v>
      </c>
    </row>
    <row r="1050" spans="1:25" hidden="1" x14ac:dyDescent="0.25">
      <c r="A1050" s="283" t="s">
        <v>247</v>
      </c>
      <c r="B1050" s="260">
        <v>45796</v>
      </c>
      <c r="C1050" s="261" t="s">
        <v>571</v>
      </c>
      <c r="D1050" s="261"/>
      <c r="E1050" s="262">
        <v>121</v>
      </c>
      <c r="F1050" s="262">
        <v>0</v>
      </c>
      <c r="G1050" s="285">
        <f>Tabla3[[#This Row],[INGRESOS]]-Tabla3[[#This Row],[EGRESOS]]</f>
        <v>-121</v>
      </c>
      <c r="H1050" s="285">
        <v>22551092.379999999</v>
      </c>
      <c r="I1050" s="135">
        <v>1170</v>
      </c>
      <c r="J1050" s="136">
        <f>Tabla3[[#This Row],[EGRESOS]]/Tabla3[[#This Row],[TC]]</f>
        <v>0.10341880341880341</v>
      </c>
      <c r="K1050" s="136">
        <f>Tabla3[[#This Row],[INGRESOS]]/Tabla3[[#This Row],[TC]]</f>
        <v>0</v>
      </c>
      <c r="L1050" s="8" t="s">
        <v>303</v>
      </c>
      <c r="M1050" s="8" t="s">
        <v>304</v>
      </c>
      <c r="N1050" s="8" t="s">
        <v>20</v>
      </c>
      <c r="O1050" s="8" t="s">
        <v>184</v>
      </c>
      <c r="P1050" s="8" t="s">
        <v>185</v>
      </c>
      <c r="Q1050" s="8" t="s">
        <v>186</v>
      </c>
      <c r="R1050" s="8"/>
      <c r="S1050" s="8"/>
      <c r="T1050" s="8"/>
      <c r="U1050" s="8" t="s">
        <v>261</v>
      </c>
      <c r="V1050" s="8"/>
      <c r="W1050" s="8" t="s">
        <v>306</v>
      </c>
      <c r="X1050" s="8" t="s">
        <v>98</v>
      </c>
      <c r="Y1050" s="8" t="s">
        <v>23</v>
      </c>
    </row>
    <row r="1051" spans="1:25" hidden="1" x14ac:dyDescent="0.25">
      <c r="A1051" s="283" t="s">
        <v>247</v>
      </c>
      <c r="B1051" s="260">
        <v>45796</v>
      </c>
      <c r="C1051" s="261" t="s">
        <v>542</v>
      </c>
      <c r="D1051" s="261"/>
      <c r="E1051" s="262">
        <v>100000</v>
      </c>
      <c r="F1051" s="262">
        <v>0</v>
      </c>
      <c r="G1051" s="285">
        <f>Tabla3[[#This Row],[INGRESOS]]-Tabla3[[#This Row],[EGRESOS]]</f>
        <v>-100000</v>
      </c>
      <c r="H1051" s="285">
        <v>22451092.379999999</v>
      </c>
      <c r="I1051" s="135">
        <v>1170</v>
      </c>
      <c r="J1051" s="136">
        <f>Tabla3[[#This Row],[EGRESOS]]/Tabla3[[#This Row],[TC]]</f>
        <v>85.470085470085465</v>
      </c>
      <c r="K1051" s="136">
        <f>Tabla3[[#This Row],[INGRESOS]]/Tabla3[[#This Row],[TC]]</f>
        <v>0</v>
      </c>
      <c r="L1051" s="8" t="s">
        <v>303</v>
      </c>
      <c r="M1051" s="8" t="s">
        <v>304</v>
      </c>
      <c r="N1051" s="8" t="s">
        <v>20</v>
      </c>
      <c r="O1051" s="8" t="s">
        <v>184</v>
      </c>
      <c r="P1051" s="8" t="s">
        <v>191</v>
      </c>
      <c r="Q1051" s="8" t="s">
        <v>192</v>
      </c>
      <c r="R1051" s="8"/>
      <c r="S1051" s="8" t="s">
        <v>431</v>
      </c>
      <c r="T1051" s="8"/>
      <c r="U1051" s="8" t="s">
        <v>266</v>
      </c>
      <c r="V1051" s="8"/>
      <c r="W1051" s="8" t="s">
        <v>306</v>
      </c>
      <c r="X1051" s="8" t="s">
        <v>98</v>
      </c>
      <c r="Y1051" s="8" t="s">
        <v>23</v>
      </c>
    </row>
    <row r="1052" spans="1:25" hidden="1" x14ac:dyDescent="0.25">
      <c r="A1052" s="283" t="s">
        <v>247</v>
      </c>
      <c r="B1052" s="260">
        <v>45796</v>
      </c>
      <c r="C1052" s="261" t="s">
        <v>542</v>
      </c>
      <c r="D1052" s="261"/>
      <c r="E1052" s="262">
        <v>2000000</v>
      </c>
      <c r="F1052" s="262">
        <v>0</v>
      </c>
      <c r="G1052" s="285">
        <f>Tabla3[[#This Row],[INGRESOS]]-Tabla3[[#This Row],[EGRESOS]]</f>
        <v>-2000000</v>
      </c>
      <c r="H1052" s="285">
        <v>20451092.379999999</v>
      </c>
      <c r="I1052" s="135">
        <v>1170</v>
      </c>
      <c r="J1052" s="136">
        <f>Tabla3[[#This Row],[EGRESOS]]/Tabla3[[#This Row],[TC]]</f>
        <v>1709.4017094017095</v>
      </c>
      <c r="K1052" s="136">
        <f>Tabla3[[#This Row],[INGRESOS]]/Tabla3[[#This Row],[TC]]</f>
        <v>0</v>
      </c>
      <c r="L1052" s="8" t="s">
        <v>303</v>
      </c>
      <c r="M1052" s="8" t="s">
        <v>304</v>
      </c>
      <c r="N1052" s="8" t="s">
        <v>20</v>
      </c>
      <c r="O1052" s="8" t="s">
        <v>184</v>
      </c>
      <c r="P1052" s="8" t="s">
        <v>194</v>
      </c>
      <c r="Q1052" s="8" t="s">
        <v>196</v>
      </c>
      <c r="R1052" s="8"/>
      <c r="S1052" s="8" t="s">
        <v>311</v>
      </c>
      <c r="T1052" s="8"/>
      <c r="U1052" s="8" t="s">
        <v>277</v>
      </c>
      <c r="V1052" s="8" t="s">
        <v>311</v>
      </c>
      <c r="W1052" s="8" t="s">
        <v>306</v>
      </c>
      <c r="X1052" s="8" t="s">
        <v>103</v>
      </c>
      <c r="Y1052" s="8" t="s">
        <v>23</v>
      </c>
    </row>
    <row r="1053" spans="1:25" hidden="1" x14ac:dyDescent="0.25">
      <c r="A1053" s="283" t="s">
        <v>247</v>
      </c>
      <c r="B1053" s="260">
        <v>45796</v>
      </c>
      <c r="C1053" s="261" t="s">
        <v>571</v>
      </c>
      <c r="D1053" s="261"/>
      <c r="E1053" s="262">
        <v>121</v>
      </c>
      <c r="F1053" s="262">
        <v>0</v>
      </c>
      <c r="G1053" s="285">
        <f>Tabla3[[#This Row],[INGRESOS]]-Tabla3[[#This Row],[EGRESOS]]</f>
        <v>-121</v>
      </c>
      <c r="H1053" s="285">
        <v>20450971.379999999</v>
      </c>
      <c r="I1053" s="135">
        <v>1170</v>
      </c>
      <c r="J1053" s="136">
        <f>Tabla3[[#This Row],[EGRESOS]]/Tabla3[[#This Row],[TC]]</f>
        <v>0.10341880341880341</v>
      </c>
      <c r="K1053" s="136">
        <f>Tabla3[[#This Row],[INGRESOS]]/Tabla3[[#This Row],[TC]]</f>
        <v>0</v>
      </c>
      <c r="L1053" s="8" t="s">
        <v>303</v>
      </c>
      <c r="M1053" s="8" t="s">
        <v>304</v>
      </c>
      <c r="N1053" s="8" t="s">
        <v>20</v>
      </c>
      <c r="O1053" s="8" t="s">
        <v>184</v>
      </c>
      <c r="P1053" s="8" t="s">
        <v>185</v>
      </c>
      <c r="Q1053" s="8" t="s">
        <v>186</v>
      </c>
      <c r="R1053" s="8"/>
      <c r="S1053" s="8"/>
      <c r="T1053" s="8"/>
      <c r="U1053" s="8" t="s">
        <v>261</v>
      </c>
      <c r="V1053" s="8"/>
      <c r="W1053" s="8" t="s">
        <v>306</v>
      </c>
      <c r="X1053" s="8" t="s">
        <v>98</v>
      </c>
      <c r="Y1053" s="8" t="s">
        <v>23</v>
      </c>
    </row>
    <row r="1054" spans="1:25" hidden="1" x14ac:dyDescent="0.25">
      <c r="A1054" s="283" t="s">
        <v>247</v>
      </c>
      <c r="B1054" s="260">
        <v>45796</v>
      </c>
      <c r="C1054" s="261" t="s">
        <v>566</v>
      </c>
      <c r="D1054" s="261"/>
      <c r="E1054" s="262">
        <v>8067</v>
      </c>
      <c r="F1054" s="262">
        <v>0</v>
      </c>
      <c r="G1054" s="285">
        <f>Tabla3[[#This Row],[INGRESOS]]-Tabla3[[#This Row],[EGRESOS]]</f>
        <v>-8067</v>
      </c>
      <c r="H1054" s="285">
        <v>20442904.379999999</v>
      </c>
      <c r="I1054" s="135">
        <v>1170</v>
      </c>
      <c r="J1054" s="136">
        <f>Tabla3[[#This Row],[EGRESOS]]/Tabla3[[#This Row],[TC]]</f>
        <v>6.8948717948717952</v>
      </c>
      <c r="K1054" s="136">
        <f>Tabla3[[#This Row],[INGRESOS]]/Tabla3[[#This Row],[TC]]</f>
        <v>0</v>
      </c>
      <c r="L1054" s="8" t="s">
        <v>303</v>
      </c>
      <c r="M1054" s="8" t="s">
        <v>304</v>
      </c>
      <c r="N1054" s="8" t="s">
        <v>20</v>
      </c>
      <c r="O1054" s="8" t="s">
        <v>184</v>
      </c>
      <c r="P1054" s="8" t="s">
        <v>185</v>
      </c>
      <c r="Q1054" s="8" t="s">
        <v>227</v>
      </c>
      <c r="R1054" s="8"/>
      <c r="S1054" s="8"/>
      <c r="T1054" s="8"/>
      <c r="U1054" s="8" t="s">
        <v>261</v>
      </c>
      <c r="V1054" s="8"/>
      <c r="W1054" s="8" t="s">
        <v>306</v>
      </c>
      <c r="X1054" s="8" t="s">
        <v>98</v>
      </c>
      <c r="Y1054" s="8" t="s">
        <v>23</v>
      </c>
    </row>
    <row r="1055" spans="1:25" hidden="1" x14ac:dyDescent="0.25">
      <c r="A1055" s="283" t="s">
        <v>247</v>
      </c>
      <c r="B1055" s="260">
        <v>45796</v>
      </c>
      <c r="C1055" s="261" t="s">
        <v>637</v>
      </c>
      <c r="D1055" s="261"/>
      <c r="E1055" s="262">
        <v>31647.61</v>
      </c>
      <c r="F1055" s="262">
        <v>0</v>
      </c>
      <c r="G1055" s="285">
        <f>Tabla3[[#This Row],[INGRESOS]]-Tabla3[[#This Row],[EGRESOS]]</f>
        <v>-31647.61</v>
      </c>
      <c r="H1055" s="285">
        <v>20411256.77</v>
      </c>
      <c r="I1055" s="135">
        <v>1170</v>
      </c>
      <c r="J1055" s="136">
        <f>Tabla3[[#This Row],[EGRESOS]]/Tabla3[[#This Row],[TC]]</f>
        <v>27.049239316239316</v>
      </c>
      <c r="K1055" s="136">
        <f>Tabla3[[#This Row],[INGRESOS]]/Tabla3[[#This Row],[TC]]</f>
        <v>0</v>
      </c>
      <c r="L1055" s="8" t="s">
        <v>303</v>
      </c>
      <c r="M1055" s="8" t="s">
        <v>304</v>
      </c>
      <c r="N1055" s="8" t="s">
        <v>20</v>
      </c>
      <c r="O1055" s="8" t="s">
        <v>184</v>
      </c>
      <c r="P1055" s="8" t="s">
        <v>187</v>
      </c>
      <c r="Q1055" s="8" t="s">
        <v>188</v>
      </c>
      <c r="R1055" s="8" t="s">
        <v>317</v>
      </c>
      <c r="S1055" s="8"/>
      <c r="T1055" s="8"/>
      <c r="U1055" s="8" t="s">
        <v>261</v>
      </c>
      <c r="V1055" s="8"/>
      <c r="W1055" s="8" t="s">
        <v>306</v>
      </c>
      <c r="X1055" s="8" t="s">
        <v>98</v>
      </c>
      <c r="Y1055" s="8" t="s">
        <v>23</v>
      </c>
    </row>
    <row r="1056" spans="1:25" hidden="1" x14ac:dyDescent="0.25">
      <c r="A1056" s="283" t="s">
        <v>247</v>
      </c>
      <c r="B1056" s="260">
        <v>45797</v>
      </c>
      <c r="C1056" s="261" t="s">
        <v>323</v>
      </c>
      <c r="D1056" s="261"/>
      <c r="E1056" s="262">
        <v>10500000</v>
      </c>
      <c r="F1056" s="262">
        <v>0</v>
      </c>
      <c r="G1056" s="285">
        <f>Tabla3[[#This Row],[INGRESOS]]-Tabla3[[#This Row],[EGRESOS]]</f>
        <v>-10500000</v>
      </c>
      <c r="H1056" s="285">
        <v>9911256.7699999996</v>
      </c>
      <c r="I1056" s="135">
        <v>1170</v>
      </c>
      <c r="J1056" s="136">
        <f>Tabla3[[#This Row],[EGRESOS]]/Tabla3[[#This Row],[TC]]</f>
        <v>8974.3589743589746</v>
      </c>
      <c r="K1056" s="136">
        <f>Tabla3[[#This Row],[INGRESOS]]/Tabla3[[#This Row],[TC]]</f>
        <v>0</v>
      </c>
      <c r="L1056" s="8" t="s">
        <v>303</v>
      </c>
      <c r="M1056" s="8" t="s">
        <v>304</v>
      </c>
      <c r="N1056" s="8" t="s">
        <v>20</v>
      </c>
      <c r="O1056" s="8" t="s">
        <v>214</v>
      </c>
      <c r="P1056" s="8" t="s">
        <v>216</v>
      </c>
      <c r="Q1056" s="8" t="s">
        <v>217</v>
      </c>
      <c r="R1056" s="8"/>
      <c r="S1056" s="8"/>
      <c r="T1056" s="8"/>
      <c r="U1056" s="8" t="s">
        <v>262</v>
      </c>
      <c r="V1056" s="8"/>
      <c r="W1056" s="8"/>
      <c r="X1056" s="8"/>
      <c r="Y1056" s="8"/>
    </row>
    <row r="1057" spans="1:25" hidden="1" x14ac:dyDescent="0.25">
      <c r="A1057" s="283" t="s">
        <v>247</v>
      </c>
      <c r="B1057" s="260">
        <v>45797</v>
      </c>
      <c r="C1057" s="261" t="s">
        <v>571</v>
      </c>
      <c r="D1057" s="261"/>
      <c r="E1057" s="262">
        <v>121</v>
      </c>
      <c r="F1057" s="262">
        <v>0</v>
      </c>
      <c r="G1057" s="285">
        <f>Tabla3[[#This Row],[INGRESOS]]-Tabla3[[#This Row],[EGRESOS]]</f>
        <v>-121</v>
      </c>
      <c r="H1057" s="285">
        <v>9911135.7699999996</v>
      </c>
      <c r="I1057" s="135">
        <v>1170</v>
      </c>
      <c r="J1057" s="136">
        <f>Tabla3[[#This Row],[EGRESOS]]/Tabla3[[#This Row],[TC]]</f>
        <v>0.10341880341880341</v>
      </c>
      <c r="K1057" s="136">
        <f>Tabla3[[#This Row],[INGRESOS]]/Tabla3[[#This Row],[TC]]</f>
        <v>0</v>
      </c>
      <c r="L1057" s="8" t="s">
        <v>303</v>
      </c>
      <c r="M1057" s="8" t="s">
        <v>304</v>
      </c>
      <c r="N1057" s="8" t="s">
        <v>20</v>
      </c>
      <c r="O1057" s="8" t="s">
        <v>184</v>
      </c>
      <c r="P1057" s="8" t="s">
        <v>185</v>
      </c>
      <c r="Q1057" s="8" t="s">
        <v>186</v>
      </c>
      <c r="R1057" s="8"/>
      <c r="S1057" s="8"/>
      <c r="T1057" s="8"/>
      <c r="U1057" s="8" t="s">
        <v>261</v>
      </c>
      <c r="V1057" s="8"/>
      <c r="W1057" s="8" t="s">
        <v>306</v>
      </c>
      <c r="X1057" s="8" t="s">
        <v>98</v>
      </c>
      <c r="Y1057" s="8" t="s">
        <v>23</v>
      </c>
    </row>
    <row r="1058" spans="1:25" hidden="1" x14ac:dyDescent="0.25">
      <c r="A1058" s="283" t="s">
        <v>247</v>
      </c>
      <c r="B1058" s="260">
        <v>45797</v>
      </c>
      <c r="C1058" s="261" t="s">
        <v>542</v>
      </c>
      <c r="D1058" s="261"/>
      <c r="E1058" s="262">
        <v>27747.72</v>
      </c>
      <c r="F1058" s="262">
        <v>0</v>
      </c>
      <c r="G1058" s="285">
        <f>Tabla3[[#This Row],[INGRESOS]]-Tabla3[[#This Row],[EGRESOS]]</f>
        <v>-27747.72</v>
      </c>
      <c r="H1058" s="285">
        <v>9883388.0500000007</v>
      </c>
      <c r="I1058" s="135">
        <v>1170</v>
      </c>
      <c r="J1058" s="136">
        <f>Tabla3[[#This Row],[EGRESOS]]/Tabla3[[#This Row],[TC]]</f>
        <v>23.716000000000001</v>
      </c>
      <c r="K1058" s="136">
        <f>Tabla3[[#This Row],[INGRESOS]]/Tabla3[[#This Row],[TC]]</f>
        <v>0</v>
      </c>
      <c r="L1058" s="8" t="s">
        <v>303</v>
      </c>
      <c r="M1058" s="8" t="s">
        <v>304</v>
      </c>
      <c r="N1058" s="8" t="s">
        <v>20</v>
      </c>
      <c r="O1058" s="8" t="s">
        <v>204</v>
      </c>
      <c r="P1058" s="8" t="s">
        <v>210</v>
      </c>
      <c r="Q1058" s="8" t="s">
        <v>250</v>
      </c>
      <c r="R1058" s="8" t="s">
        <v>709</v>
      </c>
      <c r="S1058" s="8" t="s">
        <v>459</v>
      </c>
      <c r="T1058" s="8" t="s">
        <v>798</v>
      </c>
      <c r="U1058" s="8" t="s">
        <v>258</v>
      </c>
      <c r="V1058" s="8"/>
      <c r="W1058" s="8" t="s">
        <v>306</v>
      </c>
      <c r="X1058" s="8" t="s">
        <v>29</v>
      </c>
      <c r="Y1058" s="8" t="s">
        <v>23</v>
      </c>
    </row>
    <row r="1059" spans="1:25" hidden="1" x14ac:dyDescent="0.25">
      <c r="A1059" s="283" t="s">
        <v>247</v>
      </c>
      <c r="B1059" s="260">
        <v>45797</v>
      </c>
      <c r="C1059" s="261" t="s">
        <v>542</v>
      </c>
      <c r="D1059" s="261"/>
      <c r="E1059" s="262">
        <v>126401.47</v>
      </c>
      <c r="F1059" s="262">
        <v>0</v>
      </c>
      <c r="G1059" s="285">
        <f>Tabla3[[#This Row],[INGRESOS]]-Tabla3[[#This Row],[EGRESOS]]</f>
        <v>-126401.47</v>
      </c>
      <c r="H1059" s="285">
        <v>9756986.5800000001</v>
      </c>
      <c r="I1059" s="135">
        <v>1170</v>
      </c>
      <c r="J1059" s="136">
        <f>Tabla3[[#This Row],[EGRESOS]]/Tabla3[[#This Row],[TC]]</f>
        <v>108.03544444444445</v>
      </c>
      <c r="K1059" s="136">
        <f>Tabla3[[#This Row],[INGRESOS]]/Tabla3[[#This Row],[TC]]</f>
        <v>0</v>
      </c>
      <c r="L1059" s="8" t="s">
        <v>303</v>
      </c>
      <c r="M1059" s="8" t="s">
        <v>304</v>
      </c>
      <c r="N1059" s="8" t="s">
        <v>20</v>
      </c>
      <c r="O1059" s="8" t="s">
        <v>204</v>
      </c>
      <c r="P1059" s="8" t="s">
        <v>210</v>
      </c>
      <c r="Q1059" s="8" t="s">
        <v>251</v>
      </c>
      <c r="R1059" s="8" t="s">
        <v>710</v>
      </c>
      <c r="S1059" s="8" t="s">
        <v>711</v>
      </c>
      <c r="T1059" s="8" t="s">
        <v>797</v>
      </c>
      <c r="U1059" s="8" t="s">
        <v>258</v>
      </c>
      <c r="V1059" s="8"/>
      <c r="W1059" s="8" t="s">
        <v>306</v>
      </c>
      <c r="X1059" s="8" t="s">
        <v>29</v>
      </c>
      <c r="Y1059" s="8" t="s">
        <v>23</v>
      </c>
    </row>
    <row r="1060" spans="1:25" hidden="1" x14ac:dyDescent="0.25">
      <c r="A1060" s="283" t="s">
        <v>247</v>
      </c>
      <c r="B1060" s="260">
        <v>45797</v>
      </c>
      <c r="C1060" s="261" t="s">
        <v>542</v>
      </c>
      <c r="D1060" s="261"/>
      <c r="E1060" s="262">
        <v>53000</v>
      </c>
      <c r="F1060" s="262">
        <v>0</v>
      </c>
      <c r="G1060" s="285">
        <f>Tabla3[[#This Row],[INGRESOS]]-Tabla3[[#This Row],[EGRESOS]]</f>
        <v>-53000</v>
      </c>
      <c r="H1060" s="285">
        <v>9703986.5800000001</v>
      </c>
      <c r="I1060" s="135">
        <v>1170</v>
      </c>
      <c r="J1060" s="136">
        <f>Tabla3[[#This Row],[EGRESOS]]/Tabla3[[#This Row],[TC]]</f>
        <v>45.299145299145302</v>
      </c>
      <c r="K1060" s="136">
        <f>Tabla3[[#This Row],[INGRESOS]]/Tabla3[[#This Row],[TC]]</f>
        <v>0</v>
      </c>
      <c r="L1060" s="8" t="s">
        <v>303</v>
      </c>
      <c r="M1060" s="8" t="s">
        <v>304</v>
      </c>
      <c r="N1060" s="8" t="s">
        <v>20</v>
      </c>
      <c r="O1060" s="8" t="s">
        <v>223</v>
      </c>
      <c r="P1060" s="8" t="s">
        <v>253</v>
      </c>
      <c r="Q1060" s="8" t="s">
        <v>712</v>
      </c>
      <c r="R1060" s="8"/>
      <c r="S1060" s="8" t="s">
        <v>713</v>
      </c>
      <c r="T1060" s="8"/>
      <c r="U1060" s="8" t="s">
        <v>261</v>
      </c>
      <c r="V1060" s="8"/>
      <c r="W1060" s="8" t="s">
        <v>306</v>
      </c>
      <c r="X1060" s="8" t="s">
        <v>98</v>
      </c>
      <c r="Y1060" s="8" t="s">
        <v>23</v>
      </c>
    </row>
    <row r="1061" spans="1:25" hidden="1" x14ac:dyDescent="0.25">
      <c r="A1061" s="283" t="s">
        <v>247</v>
      </c>
      <c r="B1061" s="260">
        <v>45797</v>
      </c>
      <c r="C1061" s="261" t="s">
        <v>542</v>
      </c>
      <c r="D1061" s="261"/>
      <c r="E1061" s="262">
        <v>2100000</v>
      </c>
      <c r="F1061" s="262">
        <v>0</v>
      </c>
      <c r="G1061" s="285">
        <f>Tabla3[[#This Row],[INGRESOS]]-Tabla3[[#This Row],[EGRESOS]]</f>
        <v>-2100000</v>
      </c>
      <c r="H1061" s="285">
        <v>7603986.5800000001</v>
      </c>
      <c r="I1061" s="135">
        <v>1170</v>
      </c>
      <c r="J1061" s="136">
        <f>Tabla3[[#This Row],[EGRESOS]]/Tabla3[[#This Row],[TC]]</f>
        <v>1794.8717948717949</v>
      </c>
      <c r="K1061" s="136">
        <f>Tabla3[[#This Row],[INGRESOS]]/Tabla3[[#This Row],[TC]]</f>
        <v>0</v>
      </c>
      <c r="L1061" s="8" t="s">
        <v>303</v>
      </c>
      <c r="M1061" s="8" t="s">
        <v>304</v>
      </c>
      <c r="N1061" s="8" t="s">
        <v>20</v>
      </c>
      <c r="O1061" s="8" t="s">
        <v>184</v>
      </c>
      <c r="P1061" s="8" t="s">
        <v>237</v>
      </c>
      <c r="Q1061" s="8" t="s">
        <v>248</v>
      </c>
      <c r="R1061" s="8"/>
      <c r="S1061" s="8" t="s">
        <v>365</v>
      </c>
      <c r="T1061" s="8"/>
      <c r="U1061" s="8" t="s">
        <v>273</v>
      </c>
      <c r="V1061" s="8"/>
      <c r="W1061" s="8" t="s">
        <v>306</v>
      </c>
      <c r="X1061" s="8" t="s">
        <v>45</v>
      </c>
      <c r="Y1061" s="8" t="s">
        <v>23</v>
      </c>
    </row>
    <row r="1062" spans="1:25" hidden="1" x14ac:dyDescent="0.25">
      <c r="A1062" s="283" t="s">
        <v>247</v>
      </c>
      <c r="B1062" s="260">
        <v>45797</v>
      </c>
      <c r="C1062" s="261" t="s">
        <v>571</v>
      </c>
      <c r="D1062" s="261"/>
      <c r="E1062" s="262">
        <v>121</v>
      </c>
      <c r="F1062" s="262">
        <v>0</v>
      </c>
      <c r="G1062" s="285">
        <f>Tabla3[[#This Row],[INGRESOS]]-Tabla3[[#This Row],[EGRESOS]]</f>
        <v>-121</v>
      </c>
      <c r="H1062" s="285">
        <v>7603865.5800000001</v>
      </c>
      <c r="I1062" s="135">
        <v>1170</v>
      </c>
      <c r="J1062" s="136">
        <f>Tabla3[[#This Row],[EGRESOS]]/Tabla3[[#This Row],[TC]]</f>
        <v>0.10341880341880341</v>
      </c>
      <c r="K1062" s="136">
        <f>Tabla3[[#This Row],[INGRESOS]]/Tabla3[[#This Row],[TC]]</f>
        <v>0</v>
      </c>
      <c r="L1062" s="8" t="s">
        <v>303</v>
      </c>
      <c r="M1062" s="8" t="s">
        <v>304</v>
      </c>
      <c r="N1062" s="8" t="s">
        <v>20</v>
      </c>
      <c r="O1062" s="8" t="s">
        <v>184</v>
      </c>
      <c r="P1062" s="8" t="s">
        <v>185</v>
      </c>
      <c r="Q1062" s="8" t="s">
        <v>186</v>
      </c>
      <c r="R1062" s="8"/>
      <c r="S1062" s="8"/>
      <c r="T1062" s="8"/>
      <c r="U1062" s="8" t="s">
        <v>261</v>
      </c>
      <c r="V1062" s="8"/>
      <c r="W1062" s="8" t="s">
        <v>306</v>
      </c>
      <c r="X1062" s="8" t="s">
        <v>98</v>
      </c>
      <c r="Y1062" s="8" t="s">
        <v>23</v>
      </c>
    </row>
    <row r="1063" spans="1:25" hidden="1" x14ac:dyDescent="0.25">
      <c r="A1063" s="283" t="s">
        <v>247</v>
      </c>
      <c r="B1063" s="260">
        <v>45797</v>
      </c>
      <c r="C1063" s="261" t="s">
        <v>637</v>
      </c>
      <c r="D1063" s="261"/>
      <c r="E1063" s="262">
        <v>13844.36</v>
      </c>
      <c r="F1063" s="262">
        <v>0</v>
      </c>
      <c r="G1063" s="285">
        <f>Tabla3[[#This Row],[INGRESOS]]-Tabla3[[#This Row],[EGRESOS]]</f>
        <v>-13844.36</v>
      </c>
      <c r="H1063" s="285">
        <v>7590021.2199999997</v>
      </c>
      <c r="I1063" s="135">
        <v>1170</v>
      </c>
      <c r="J1063" s="136">
        <f>Tabla3[[#This Row],[EGRESOS]]/Tabla3[[#This Row],[TC]]</f>
        <v>11.832786324786325</v>
      </c>
      <c r="K1063" s="136">
        <f>Tabla3[[#This Row],[INGRESOS]]/Tabla3[[#This Row],[TC]]</f>
        <v>0</v>
      </c>
      <c r="L1063" s="8" t="s">
        <v>303</v>
      </c>
      <c r="M1063" s="8" t="s">
        <v>304</v>
      </c>
      <c r="N1063" s="8" t="s">
        <v>20</v>
      </c>
      <c r="O1063" s="8" t="s">
        <v>184</v>
      </c>
      <c r="P1063" s="8" t="s">
        <v>187</v>
      </c>
      <c r="Q1063" s="8" t="s">
        <v>188</v>
      </c>
      <c r="R1063" s="8" t="s">
        <v>317</v>
      </c>
      <c r="S1063" s="8"/>
      <c r="T1063" s="8"/>
      <c r="U1063" s="8" t="s">
        <v>261</v>
      </c>
      <c r="V1063" s="8"/>
      <c r="W1063" s="8" t="s">
        <v>306</v>
      </c>
      <c r="X1063" s="8" t="s">
        <v>98</v>
      </c>
      <c r="Y1063" s="8" t="s">
        <v>23</v>
      </c>
    </row>
    <row r="1064" spans="1:25" hidden="1" x14ac:dyDescent="0.25">
      <c r="A1064" s="283" t="s">
        <v>247</v>
      </c>
      <c r="B1064" s="260">
        <v>45798</v>
      </c>
      <c r="C1064" s="261" t="s">
        <v>323</v>
      </c>
      <c r="D1064" s="261"/>
      <c r="E1064" s="262">
        <v>350000</v>
      </c>
      <c r="F1064" s="262">
        <v>0</v>
      </c>
      <c r="G1064" s="285">
        <f>Tabla3[[#This Row],[INGRESOS]]-Tabla3[[#This Row],[EGRESOS]]</f>
        <v>-350000</v>
      </c>
      <c r="H1064" s="285">
        <v>7240021.2199999997</v>
      </c>
      <c r="I1064" s="135">
        <v>1170</v>
      </c>
      <c r="J1064" s="136">
        <f>Tabla3[[#This Row],[EGRESOS]]/Tabla3[[#This Row],[TC]]</f>
        <v>299.14529914529913</v>
      </c>
      <c r="K1064" s="136">
        <f>Tabla3[[#This Row],[INGRESOS]]/Tabla3[[#This Row],[TC]]</f>
        <v>0</v>
      </c>
      <c r="L1064" s="8" t="s">
        <v>303</v>
      </c>
      <c r="M1064" s="8" t="s">
        <v>304</v>
      </c>
      <c r="N1064" s="8" t="s">
        <v>20</v>
      </c>
      <c r="O1064" s="8" t="s">
        <v>214</v>
      </c>
      <c r="P1064" s="8" t="s">
        <v>216</v>
      </c>
      <c r="Q1064" s="8" t="s">
        <v>217</v>
      </c>
      <c r="R1064" s="8" t="s">
        <v>484</v>
      </c>
      <c r="S1064" s="8"/>
      <c r="T1064" s="8"/>
      <c r="U1064" s="8" t="s">
        <v>262</v>
      </c>
      <c r="V1064" s="8"/>
      <c r="W1064" s="8"/>
      <c r="X1064" s="8"/>
      <c r="Y1064" s="8"/>
    </row>
    <row r="1065" spans="1:25" hidden="1" x14ac:dyDescent="0.25">
      <c r="A1065" s="283" t="s">
        <v>247</v>
      </c>
      <c r="B1065" s="260">
        <v>45798</v>
      </c>
      <c r="C1065" s="261" t="s">
        <v>571</v>
      </c>
      <c r="D1065" s="261"/>
      <c r="E1065" s="262">
        <v>121</v>
      </c>
      <c r="F1065" s="262">
        <v>0</v>
      </c>
      <c r="G1065" s="285">
        <f>Tabla3[[#This Row],[INGRESOS]]-Tabla3[[#This Row],[EGRESOS]]</f>
        <v>-121</v>
      </c>
      <c r="H1065" s="285">
        <v>7239900.2199999997</v>
      </c>
      <c r="I1065" s="135">
        <v>1170</v>
      </c>
      <c r="J1065" s="136">
        <f>Tabla3[[#This Row],[EGRESOS]]/Tabla3[[#This Row],[TC]]</f>
        <v>0.10341880341880341</v>
      </c>
      <c r="K1065" s="136">
        <f>Tabla3[[#This Row],[INGRESOS]]/Tabla3[[#This Row],[TC]]</f>
        <v>0</v>
      </c>
      <c r="L1065" s="8" t="s">
        <v>303</v>
      </c>
      <c r="M1065" s="8" t="s">
        <v>304</v>
      </c>
      <c r="N1065" s="8" t="s">
        <v>20</v>
      </c>
      <c r="O1065" s="8" t="s">
        <v>184</v>
      </c>
      <c r="P1065" s="8" t="s">
        <v>185</v>
      </c>
      <c r="Q1065" s="8" t="s">
        <v>186</v>
      </c>
      <c r="R1065" s="8"/>
      <c r="S1065" s="8"/>
      <c r="T1065" s="8"/>
      <c r="U1065" s="8" t="s">
        <v>261</v>
      </c>
      <c r="V1065" s="8"/>
      <c r="W1065" s="8" t="s">
        <v>306</v>
      </c>
      <c r="X1065" s="8" t="s">
        <v>98</v>
      </c>
      <c r="Y1065" s="8" t="s">
        <v>23</v>
      </c>
    </row>
    <row r="1066" spans="1:25" hidden="1" x14ac:dyDescent="0.25">
      <c r="A1066" s="283" t="s">
        <v>247</v>
      </c>
      <c r="B1066" s="260">
        <v>45798</v>
      </c>
      <c r="C1066" s="261" t="s">
        <v>688</v>
      </c>
      <c r="D1066" s="261"/>
      <c r="E1066" s="262">
        <v>0</v>
      </c>
      <c r="F1066" s="262">
        <v>18613.259999999998</v>
      </c>
      <c r="G1066" s="285">
        <f>Tabla3[[#This Row],[INGRESOS]]-Tabla3[[#This Row],[EGRESOS]]</f>
        <v>18613.259999999998</v>
      </c>
      <c r="H1066" s="285">
        <v>7258513.4800000004</v>
      </c>
      <c r="I1066" s="135">
        <v>1170</v>
      </c>
      <c r="J1066" s="136">
        <f>Tabla3[[#This Row],[EGRESOS]]/Tabla3[[#This Row],[TC]]</f>
        <v>0</v>
      </c>
      <c r="K1066" s="136">
        <f>Tabla3[[#This Row],[INGRESOS]]/Tabla3[[#This Row],[TC]]</f>
        <v>15.908769230769229</v>
      </c>
      <c r="L1066" s="8" t="s">
        <v>303</v>
      </c>
      <c r="M1066" s="8" t="s">
        <v>304</v>
      </c>
      <c r="N1066" s="8" t="s">
        <v>20</v>
      </c>
      <c r="O1066" s="8" t="s">
        <v>197</v>
      </c>
      <c r="P1066" s="8" t="s">
        <v>198</v>
      </c>
      <c r="Q1066" s="8" t="s">
        <v>201</v>
      </c>
      <c r="R1066" s="8" t="s">
        <v>681</v>
      </c>
      <c r="S1066" s="8" t="s">
        <v>689</v>
      </c>
      <c r="T1066" s="8"/>
      <c r="U1066" s="8" t="s">
        <v>269</v>
      </c>
      <c r="V1066" s="8"/>
      <c r="W1066" s="8" t="s">
        <v>306</v>
      </c>
      <c r="X1066" s="8" t="s">
        <v>23</v>
      </c>
      <c r="Y1066" s="8" t="s">
        <v>96</v>
      </c>
    </row>
    <row r="1067" spans="1:25" hidden="1" x14ac:dyDescent="0.25">
      <c r="A1067" s="283" t="s">
        <v>247</v>
      </c>
      <c r="B1067" s="260">
        <v>45798</v>
      </c>
      <c r="C1067" s="261" t="s">
        <v>637</v>
      </c>
      <c r="D1067" s="261"/>
      <c r="E1067" s="262">
        <v>111.68</v>
      </c>
      <c r="F1067" s="262">
        <v>0</v>
      </c>
      <c r="G1067" s="285">
        <f>Tabla3[[#This Row],[INGRESOS]]-Tabla3[[#This Row],[EGRESOS]]</f>
        <v>-111.68</v>
      </c>
      <c r="H1067" s="285">
        <v>7258401.7999999998</v>
      </c>
      <c r="I1067" s="135">
        <v>1170</v>
      </c>
      <c r="J1067" s="136">
        <f>Tabla3[[#This Row],[EGRESOS]]/Tabla3[[#This Row],[TC]]</f>
        <v>9.5452991452991465E-2</v>
      </c>
      <c r="K1067" s="136">
        <f>Tabla3[[#This Row],[INGRESOS]]/Tabla3[[#This Row],[TC]]</f>
        <v>0</v>
      </c>
      <c r="L1067" s="8" t="s">
        <v>303</v>
      </c>
      <c r="M1067" s="8" t="s">
        <v>304</v>
      </c>
      <c r="N1067" s="8" t="s">
        <v>20</v>
      </c>
      <c r="O1067" s="8" t="s">
        <v>184</v>
      </c>
      <c r="P1067" s="8" t="s">
        <v>187</v>
      </c>
      <c r="Q1067" s="8" t="s">
        <v>188</v>
      </c>
      <c r="R1067" s="8" t="s">
        <v>317</v>
      </c>
      <c r="S1067" s="8"/>
      <c r="T1067" s="8"/>
      <c r="U1067" s="8" t="s">
        <v>261</v>
      </c>
      <c r="V1067" s="8"/>
      <c r="W1067" s="8" t="s">
        <v>306</v>
      </c>
      <c r="X1067" s="8" t="s">
        <v>98</v>
      </c>
      <c r="Y1067" s="8" t="s">
        <v>23</v>
      </c>
    </row>
    <row r="1068" spans="1:25" hidden="1" x14ac:dyDescent="0.25">
      <c r="A1068" s="283" t="s">
        <v>247</v>
      </c>
      <c r="B1068" s="260">
        <v>45798</v>
      </c>
      <c r="C1068" s="261" t="s">
        <v>637</v>
      </c>
      <c r="D1068" s="261"/>
      <c r="E1068" s="262">
        <v>0.73</v>
      </c>
      <c r="F1068" s="262">
        <v>0</v>
      </c>
      <c r="G1068" s="285">
        <f>Tabla3[[#This Row],[INGRESOS]]-Tabla3[[#This Row],[EGRESOS]]</f>
        <v>-0.73</v>
      </c>
      <c r="H1068" s="285">
        <v>7258401.0700000003</v>
      </c>
      <c r="I1068" s="135">
        <v>1170</v>
      </c>
      <c r="J1068" s="136">
        <f>Tabla3[[#This Row],[EGRESOS]]/Tabla3[[#This Row],[TC]]</f>
        <v>6.2393162393162391E-4</v>
      </c>
      <c r="K1068" s="136">
        <f>Tabla3[[#This Row],[INGRESOS]]/Tabla3[[#This Row],[TC]]</f>
        <v>0</v>
      </c>
      <c r="L1068" s="8" t="s">
        <v>303</v>
      </c>
      <c r="M1068" s="8" t="s">
        <v>304</v>
      </c>
      <c r="N1068" s="8" t="s">
        <v>20</v>
      </c>
      <c r="O1068" s="8" t="s">
        <v>184</v>
      </c>
      <c r="P1068" s="8" t="s">
        <v>187</v>
      </c>
      <c r="Q1068" s="8" t="s">
        <v>188</v>
      </c>
      <c r="R1068" s="8" t="s">
        <v>317</v>
      </c>
      <c r="S1068" s="8"/>
      <c r="T1068" s="8"/>
      <c r="U1068" s="8" t="s">
        <v>261</v>
      </c>
      <c r="V1068" s="8"/>
      <c r="W1068" s="8" t="s">
        <v>306</v>
      </c>
      <c r="X1068" s="8" t="s">
        <v>98</v>
      </c>
      <c r="Y1068" s="8" t="s">
        <v>23</v>
      </c>
    </row>
    <row r="1069" spans="1:25" hidden="1" x14ac:dyDescent="0.25">
      <c r="A1069" s="283" t="s">
        <v>247</v>
      </c>
      <c r="B1069" s="260">
        <v>45799</v>
      </c>
      <c r="C1069" s="261" t="s">
        <v>521</v>
      </c>
      <c r="D1069" s="261" t="s">
        <v>714</v>
      </c>
      <c r="E1069" s="262">
        <v>1500000</v>
      </c>
      <c r="F1069" s="262">
        <v>0</v>
      </c>
      <c r="G1069" s="285">
        <f>Tabla3[[#This Row],[INGRESOS]]-Tabla3[[#This Row],[EGRESOS]]</f>
        <v>-1500000</v>
      </c>
      <c r="H1069" s="285">
        <v>5758401.0700000003</v>
      </c>
      <c r="I1069" s="135">
        <v>1170</v>
      </c>
      <c r="J1069" s="136">
        <f>Tabla3[[#This Row],[EGRESOS]]/Tabla3[[#This Row],[TC]]</f>
        <v>1282.051282051282</v>
      </c>
      <c r="K1069" s="136">
        <f>Tabla3[[#This Row],[INGRESOS]]/Tabla3[[#This Row],[TC]]</f>
        <v>0</v>
      </c>
      <c r="L1069" s="8" t="s">
        <v>303</v>
      </c>
      <c r="M1069" s="8" t="s">
        <v>304</v>
      </c>
      <c r="N1069" s="8" t="s">
        <v>20</v>
      </c>
      <c r="O1069" s="8" t="s">
        <v>197</v>
      </c>
      <c r="P1069" s="8" t="s">
        <v>198</v>
      </c>
      <c r="Q1069" s="8" t="s">
        <v>201</v>
      </c>
      <c r="R1069" s="8" t="s">
        <v>202</v>
      </c>
      <c r="S1069" s="8" t="s">
        <v>573</v>
      </c>
      <c r="T1069" s="8"/>
      <c r="U1069" s="8" t="s">
        <v>260</v>
      </c>
      <c r="V1069" s="8"/>
      <c r="W1069" s="8" t="s">
        <v>306</v>
      </c>
      <c r="X1069" s="8" t="s">
        <v>29</v>
      </c>
      <c r="Y1069" s="8" t="s">
        <v>23</v>
      </c>
    </row>
    <row r="1070" spans="1:25" hidden="1" x14ac:dyDescent="0.25">
      <c r="A1070" s="283" t="s">
        <v>247</v>
      </c>
      <c r="B1070" s="260">
        <v>45799</v>
      </c>
      <c r="C1070" s="261" t="s">
        <v>521</v>
      </c>
      <c r="D1070" s="261" t="s">
        <v>715</v>
      </c>
      <c r="E1070" s="262">
        <v>357951</v>
      </c>
      <c r="F1070" s="262">
        <v>0</v>
      </c>
      <c r="G1070" s="285">
        <f>Tabla3[[#This Row],[INGRESOS]]-Tabla3[[#This Row],[EGRESOS]]</f>
        <v>-357951</v>
      </c>
      <c r="H1070" s="285">
        <v>5400450.0700000003</v>
      </c>
      <c r="I1070" s="135">
        <v>1170</v>
      </c>
      <c r="J1070" s="136">
        <f>Tabla3[[#This Row],[EGRESOS]]/Tabla3[[#This Row],[TC]]</f>
        <v>305.94102564102565</v>
      </c>
      <c r="K1070" s="136">
        <f>Tabla3[[#This Row],[INGRESOS]]/Tabla3[[#This Row],[TC]]</f>
        <v>0</v>
      </c>
      <c r="L1070" s="8" t="s">
        <v>303</v>
      </c>
      <c r="M1070" s="8" t="s">
        <v>304</v>
      </c>
      <c r="N1070" s="8" t="s">
        <v>20</v>
      </c>
      <c r="O1070" s="8" t="s">
        <v>204</v>
      </c>
      <c r="P1070" s="8" t="s">
        <v>210</v>
      </c>
      <c r="Q1070" s="8" t="s">
        <v>211</v>
      </c>
      <c r="R1070" s="8" t="s">
        <v>897</v>
      </c>
      <c r="S1070" s="8" t="s">
        <v>716</v>
      </c>
      <c r="T1070" s="8" t="s">
        <v>895</v>
      </c>
      <c r="U1070" s="8" t="s">
        <v>258</v>
      </c>
      <c r="V1070" s="8"/>
      <c r="W1070" s="8" t="s">
        <v>306</v>
      </c>
      <c r="X1070" s="8" t="s">
        <v>29</v>
      </c>
      <c r="Y1070" s="8" t="s">
        <v>23</v>
      </c>
    </row>
    <row r="1071" spans="1:25" hidden="1" x14ac:dyDescent="0.25">
      <c r="A1071" s="283" t="s">
        <v>247</v>
      </c>
      <c r="B1071" s="260">
        <v>45799</v>
      </c>
      <c r="C1071" s="261" t="s">
        <v>542</v>
      </c>
      <c r="D1071" s="261"/>
      <c r="E1071" s="262">
        <v>15000</v>
      </c>
      <c r="F1071" s="262">
        <v>0</v>
      </c>
      <c r="G1071" s="285">
        <f>Tabla3[[#This Row],[INGRESOS]]-Tabla3[[#This Row],[EGRESOS]]</f>
        <v>-15000</v>
      </c>
      <c r="H1071" s="285">
        <v>5126990.07</v>
      </c>
      <c r="I1071" s="135">
        <v>1170</v>
      </c>
      <c r="J1071" s="136">
        <f>Tabla3[[#This Row],[EGRESOS]]/Tabla3[[#This Row],[TC]]</f>
        <v>12.820512820512821</v>
      </c>
      <c r="K1071" s="136">
        <f>Tabla3[[#This Row],[INGRESOS]]/Tabla3[[#This Row],[TC]]</f>
        <v>0</v>
      </c>
      <c r="L1071" s="8" t="s">
        <v>303</v>
      </c>
      <c r="M1071" s="8" t="s">
        <v>304</v>
      </c>
      <c r="N1071" s="8" t="s">
        <v>20</v>
      </c>
      <c r="O1071" s="8" t="s">
        <v>204</v>
      </c>
      <c r="P1071" s="8" t="s">
        <v>208</v>
      </c>
      <c r="Q1071" s="8" t="s">
        <v>209</v>
      </c>
      <c r="R1071" s="8" t="s">
        <v>652</v>
      </c>
      <c r="S1071" s="8"/>
      <c r="T1071" s="8"/>
      <c r="U1071" s="8" t="s">
        <v>260</v>
      </c>
      <c r="V1071" s="8"/>
      <c r="W1071" s="8" t="s">
        <v>306</v>
      </c>
      <c r="X1071" s="8" t="s">
        <v>29</v>
      </c>
      <c r="Y1071" s="8" t="s">
        <v>23</v>
      </c>
    </row>
    <row r="1072" spans="1:25" hidden="1" x14ac:dyDescent="0.25">
      <c r="A1072" s="283" t="s">
        <v>247</v>
      </c>
      <c r="B1072" s="260">
        <v>45799</v>
      </c>
      <c r="C1072" s="261" t="s">
        <v>542</v>
      </c>
      <c r="D1072" s="261"/>
      <c r="E1072" s="262">
        <v>108460</v>
      </c>
      <c r="F1072" s="262">
        <v>0</v>
      </c>
      <c r="G1072" s="285">
        <f>Tabla3[[#This Row],[INGRESOS]]-Tabla3[[#This Row],[EGRESOS]]</f>
        <v>-108460</v>
      </c>
      <c r="H1072" s="285">
        <v>5126990.07</v>
      </c>
      <c r="I1072" s="135">
        <v>1170</v>
      </c>
      <c r="J1072" s="136">
        <f>Tabla3[[#This Row],[EGRESOS]]/Tabla3[[#This Row],[TC]]</f>
        <v>92.700854700854705</v>
      </c>
      <c r="K1072" s="136">
        <f>Tabla3[[#This Row],[INGRESOS]]/Tabla3[[#This Row],[TC]]</f>
        <v>0</v>
      </c>
      <c r="L1072" s="8" t="s">
        <v>303</v>
      </c>
      <c r="M1072" s="8" t="s">
        <v>304</v>
      </c>
      <c r="N1072" s="8" t="s">
        <v>20</v>
      </c>
      <c r="O1072" s="8" t="s">
        <v>204</v>
      </c>
      <c r="P1072" s="8" t="s">
        <v>210</v>
      </c>
      <c r="Q1072" s="8" t="s">
        <v>229</v>
      </c>
      <c r="R1072" s="8"/>
      <c r="S1072" s="8" t="s">
        <v>415</v>
      </c>
      <c r="T1072" s="8"/>
      <c r="U1072" s="8" t="s">
        <v>258</v>
      </c>
      <c r="V1072" s="8"/>
      <c r="W1072" s="8" t="s">
        <v>306</v>
      </c>
      <c r="X1072" s="8" t="s">
        <v>29</v>
      </c>
      <c r="Y1072" s="8" t="s">
        <v>23</v>
      </c>
    </row>
    <row r="1073" spans="1:25" hidden="1" x14ac:dyDescent="0.25">
      <c r="A1073" s="283" t="s">
        <v>247</v>
      </c>
      <c r="B1073" s="260">
        <v>45799</v>
      </c>
      <c r="C1073" s="261" t="s">
        <v>542</v>
      </c>
      <c r="D1073" s="261"/>
      <c r="E1073" s="262">
        <v>150000</v>
      </c>
      <c r="F1073" s="262">
        <v>0</v>
      </c>
      <c r="G1073" s="285">
        <f>Tabla3[[#This Row],[INGRESOS]]-Tabla3[[#This Row],[EGRESOS]]</f>
        <v>-150000</v>
      </c>
      <c r="H1073" s="285">
        <v>5126990.07</v>
      </c>
      <c r="I1073" s="135">
        <v>1170</v>
      </c>
      <c r="J1073" s="136">
        <f>Tabla3[[#This Row],[EGRESOS]]/Tabla3[[#This Row],[TC]]</f>
        <v>128.2051282051282</v>
      </c>
      <c r="K1073" s="136">
        <f>Tabla3[[#This Row],[INGRESOS]]/Tabla3[[#This Row],[TC]]</f>
        <v>0</v>
      </c>
      <c r="L1073" s="8" t="s">
        <v>303</v>
      </c>
      <c r="M1073" s="8" t="s">
        <v>304</v>
      </c>
      <c r="N1073" s="8" t="s">
        <v>20</v>
      </c>
      <c r="O1073" s="8" t="s">
        <v>184</v>
      </c>
      <c r="P1073" s="8" t="s">
        <v>194</v>
      </c>
      <c r="Q1073" s="8" t="s">
        <v>248</v>
      </c>
      <c r="R1073" s="8" t="s">
        <v>490</v>
      </c>
      <c r="S1073" s="8" t="s">
        <v>311</v>
      </c>
      <c r="T1073" s="8"/>
      <c r="U1073" s="8" t="s">
        <v>261</v>
      </c>
      <c r="V1073" s="8" t="s">
        <v>311</v>
      </c>
      <c r="W1073" s="8" t="s">
        <v>306</v>
      </c>
      <c r="X1073" s="8" t="s">
        <v>98</v>
      </c>
      <c r="Y1073" s="8" t="s">
        <v>23</v>
      </c>
    </row>
    <row r="1074" spans="1:25" hidden="1" x14ac:dyDescent="0.25">
      <c r="A1074" s="283" t="s">
        <v>247</v>
      </c>
      <c r="B1074" s="260">
        <v>45799</v>
      </c>
      <c r="C1074" s="261" t="s">
        <v>571</v>
      </c>
      <c r="D1074" s="261"/>
      <c r="E1074" s="262">
        <v>18.149999999999999</v>
      </c>
      <c r="F1074" s="262">
        <v>0</v>
      </c>
      <c r="G1074" s="285">
        <f>Tabla3[[#This Row],[INGRESOS]]-Tabla3[[#This Row],[EGRESOS]]</f>
        <v>-18.149999999999999</v>
      </c>
      <c r="H1074" s="285">
        <v>5126971.92</v>
      </c>
      <c r="I1074" s="135">
        <v>1170</v>
      </c>
      <c r="J1074" s="136">
        <f>Tabla3[[#This Row],[EGRESOS]]/Tabla3[[#This Row],[TC]]</f>
        <v>1.5512820512820512E-2</v>
      </c>
      <c r="K1074" s="136">
        <f>Tabla3[[#This Row],[INGRESOS]]/Tabla3[[#This Row],[TC]]</f>
        <v>0</v>
      </c>
      <c r="L1074" s="8" t="s">
        <v>303</v>
      </c>
      <c r="M1074" s="8" t="s">
        <v>304</v>
      </c>
      <c r="N1074" s="8" t="s">
        <v>20</v>
      </c>
      <c r="O1074" s="8" t="s">
        <v>184</v>
      </c>
      <c r="P1074" s="8" t="s">
        <v>185</v>
      </c>
      <c r="Q1074" s="8" t="s">
        <v>186</v>
      </c>
      <c r="R1074" s="8"/>
      <c r="S1074" s="8"/>
      <c r="T1074" s="8"/>
      <c r="U1074" s="8" t="s">
        <v>261</v>
      </c>
      <c r="V1074" s="8"/>
      <c r="W1074" s="8" t="s">
        <v>306</v>
      </c>
      <c r="X1074" s="8" t="s">
        <v>98</v>
      </c>
      <c r="Y1074" s="8" t="s">
        <v>23</v>
      </c>
    </row>
    <row r="1075" spans="1:25" hidden="1" x14ac:dyDescent="0.25">
      <c r="A1075" s="283" t="s">
        <v>247</v>
      </c>
      <c r="B1075" s="260">
        <v>45799</v>
      </c>
      <c r="C1075" s="261" t="s">
        <v>637</v>
      </c>
      <c r="D1075" s="261"/>
      <c r="E1075" s="262">
        <v>12788.58</v>
      </c>
      <c r="F1075" s="262">
        <v>0</v>
      </c>
      <c r="G1075" s="285">
        <f>Tabla3[[#This Row],[INGRESOS]]-Tabla3[[#This Row],[EGRESOS]]</f>
        <v>-12788.58</v>
      </c>
      <c r="H1075" s="285">
        <v>5114183.34</v>
      </c>
      <c r="I1075" s="135">
        <v>1170</v>
      </c>
      <c r="J1075" s="136">
        <f>Tabla3[[#This Row],[EGRESOS]]/Tabla3[[#This Row],[TC]]</f>
        <v>10.930410256410257</v>
      </c>
      <c r="K1075" s="136">
        <f>Tabla3[[#This Row],[INGRESOS]]/Tabla3[[#This Row],[TC]]</f>
        <v>0</v>
      </c>
      <c r="L1075" s="8" t="s">
        <v>303</v>
      </c>
      <c r="M1075" s="8" t="s">
        <v>304</v>
      </c>
      <c r="N1075" s="8" t="s">
        <v>20</v>
      </c>
      <c r="O1075" s="8" t="s">
        <v>184</v>
      </c>
      <c r="P1075" s="8" t="s">
        <v>187</v>
      </c>
      <c r="Q1075" s="8" t="s">
        <v>188</v>
      </c>
      <c r="R1075" s="8" t="s">
        <v>317</v>
      </c>
      <c r="S1075" s="8"/>
      <c r="T1075" s="8"/>
      <c r="U1075" s="8" t="s">
        <v>261</v>
      </c>
      <c r="V1075" s="8"/>
      <c r="W1075" s="8" t="s">
        <v>306</v>
      </c>
      <c r="X1075" s="8" t="s">
        <v>98</v>
      </c>
      <c r="Y1075" s="8" t="s">
        <v>23</v>
      </c>
    </row>
    <row r="1076" spans="1:25" hidden="1" x14ac:dyDescent="0.25">
      <c r="A1076" s="283" t="s">
        <v>247</v>
      </c>
      <c r="B1076" s="260">
        <v>45800</v>
      </c>
      <c r="C1076" s="261" t="s">
        <v>521</v>
      </c>
      <c r="D1076" s="261" t="s">
        <v>795</v>
      </c>
      <c r="E1076" s="262">
        <v>47567.519999999997</v>
      </c>
      <c r="F1076" s="262">
        <v>0</v>
      </c>
      <c r="G1076" s="285">
        <f>Tabla3[[#This Row],[INGRESOS]]-Tabla3[[#This Row],[EGRESOS]]</f>
        <v>-47567.519999999997</v>
      </c>
      <c r="H1076" s="285">
        <v>5066615.82</v>
      </c>
      <c r="I1076" s="135">
        <v>1170</v>
      </c>
      <c r="J1076" s="136">
        <f>Tabla3[[#This Row],[EGRESOS]]/Tabla3[[#This Row],[TC]]</f>
        <v>40.655999999999999</v>
      </c>
      <c r="K1076" s="136">
        <f>Tabla3[[#This Row],[INGRESOS]]/Tabla3[[#This Row],[TC]]</f>
        <v>0</v>
      </c>
      <c r="L1076" s="8" t="s">
        <v>303</v>
      </c>
      <c r="M1076" s="8" t="s">
        <v>304</v>
      </c>
      <c r="N1076" s="8" t="s">
        <v>20</v>
      </c>
      <c r="O1076" s="8" t="s">
        <v>204</v>
      </c>
      <c r="P1076" s="8" t="s">
        <v>210</v>
      </c>
      <c r="Q1076" s="8" t="s">
        <v>250</v>
      </c>
      <c r="R1076" s="8"/>
      <c r="S1076" s="8" t="s">
        <v>459</v>
      </c>
      <c r="T1076" s="8" t="s">
        <v>796</v>
      </c>
      <c r="U1076" s="8" t="s">
        <v>258</v>
      </c>
      <c r="V1076" s="8"/>
      <c r="W1076" s="8" t="s">
        <v>306</v>
      </c>
      <c r="X1076" s="8" t="s">
        <v>29</v>
      </c>
      <c r="Y1076" s="8" t="s">
        <v>23</v>
      </c>
    </row>
    <row r="1077" spans="1:25" hidden="1" x14ac:dyDescent="0.25">
      <c r="A1077" s="283" t="s">
        <v>247</v>
      </c>
      <c r="B1077" s="260">
        <v>45800</v>
      </c>
      <c r="C1077" s="261" t="s">
        <v>542</v>
      </c>
      <c r="D1077" s="261"/>
      <c r="E1077" s="262">
        <v>30000</v>
      </c>
      <c r="F1077" s="262">
        <v>0</v>
      </c>
      <c r="G1077" s="285">
        <f>Tabla3[[#This Row],[INGRESOS]]-Tabla3[[#This Row],[EGRESOS]]</f>
        <v>-30000</v>
      </c>
      <c r="H1077" s="285">
        <v>1036741.19</v>
      </c>
      <c r="I1077" s="135">
        <v>1170</v>
      </c>
      <c r="J1077" s="136">
        <f>Tabla3[[#This Row],[EGRESOS]]/Tabla3[[#This Row],[TC]]</f>
        <v>25.641025641025642</v>
      </c>
      <c r="K1077" s="136">
        <f>Tabla3[[#This Row],[INGRESOS]]/Tabla3[[#This Row],[TC]]</f>
        <v>0</v>
      </c>
      <c r="L1077" s="8" t="s">
        <v>303</v>
      </c>
      <c r="M1077" s="8" t="s">
        <v>304</v>
      </c>
      <c r="N1077" s="8" t="s">
        <v>20</v>
      </c>
      <c r="O1077" s="8" t="s">
        <v>184</v>
      </c>
      <c r="P1077" s="8" t="s">
        <v>194</v>
      </c>
      <c r="Q1077" s="8" t="s">
        <v>196</v>
      </c>
      <c r="R1077" s="8"/>
      <c r="S1077" s="8" t="s">
        <v>331</v>
      </c>
      <c r="T1077" s="8"/>
      <c r="U1077" s="8" t="s">
        <v>267</v>
      </c>
      <c r="V1077" s="8" t="s">
        <v>332</v>
      </c>
      <c r="W1077" s="8" t="s">
        <v>306</v>
      </c>
      <c r="X1077" s="8" t="s">
        <v>101</v>
      </c>
      <c r="Y1077" s="8" t="s">
        <v>23</v>
      </c>
    </row>
    <row r="1078" spans="1:25" hidden="1" x14ac:dyDescent="0.25">
      <c r="A1078" s="283" t="s">
        <v>247</v>
      </c>
      <c r="B1078" s="260">
        <v>45800</v>
      </c>
      <c r="C1078" s="261" t="s">
        <v>688</v>
      </c>
      <c r="D1078" s="261"/>
      <c r="E1078" s="262">
        <v>0</v>
      </c>
      <c r="F1078" s="262">
        <v>246.37</v>
      </c>
      <c r="G1078" s="285">
        <f>Tabla3[[#This Row],[INGRESOS]]-Tabla3[[#This Row],[EGRESOS]]</f>
        <v>246.37</v>
      </c>
      <c r="H1078" s="285">
        <v>5066862.1900000004</v>
      </c>
      <c r="I1078" s="135">
        <v>1170</v>
      </c>
      <c r="J1078" s="136">
        <f>Tabla3[[#This Row],[EGRESOS]]/Tabla3[[#This Row],[TC]]</f>
        <v>0</v>
      </c>
      <c r="K1078" s="136">
        <f>Tabla3[[#This Row],[INGRESOS]]/Tabla3[[#This Row],[TC]]</f>
        <v>0.21057264957264957</v>
      </c>
      <c r="L1078" s="8" t="s">
        <v>303</v>
      </c>
      <c r="M1078" s="8" t="s">
        <v>304</v>
      </c>
      <c r="N1078" s="8" t="s">
        <v>20</v>
      </c>
      <c r="O1078" s="8" t="s">
        <v>197</v>
      </c>
      <c r="P1078" s="8" t="s">
        <v>198</v>
      </c>
      <c r="Q1078" s="8" t="s">
        <v>201</v>
      </c>
      <c r="R1078" s="8" t="s">
        <v>681</v>
      </c>
      <c r="S1078" s="8" t="s">
        <v>689</v>
      </c>
      <c r="T1078" s="8"/>
      <c r="U1078" s="8" t="s">
        <v>269</v>
      </c>
      <c r="V1078" s="8"/>
      <c r="W1078" s="8" t="s">
        <v>306</v>
      </c>
      <c r="X1078" s="8" t="s">
        <v>23</v>
      </c>
      <c r="Y1078" s="8" t="s">
        <v>96</v>
      </c>
    </row>
    <row r="1079" spans="1:25" hidden="1" x14ac:dyDescent="0.25">
      <c r="A1079" s="283" t="s">
        <v>247</v>
      </c>
      <c r="B1079" s="260">
        <v>45800</v>
      </c>
      <c r="C1079" s="261" t="s">
        <v>323</v>
      </c>
      <c r="D1079" s="261"/>
      <c r="E1079" s="262">
        <v>4000000</v>
      </c>
      <c r="F1079" s="262">
        <v>0</v>
      </c>
      <c r="G1079" s="285">
        <f>Tabla3[[#This Row],[INGRESOS]]-Tabla3[[#This Row],[EGRESOS]]</f>
        <v>-4000000</v>
      </c>
      <c r="H1079" s="285">
        <v>1066862.19</v>
      </c>
      <c r="I1079" s="135">
        <v>1170</v>
      </c>
      <c r="J1079" s="136">
        <f>Tabla3[[#This Row],[EGRESOS]]/Tabla3[[#This Row],[TC]]</f>
        <v>3418.8034188034189</v>
      </c>
      <c r="K1079" s="136">
        <f>Tabla3[[#This Row],[INGRESOS]]/Tabla3[[#This Row],[TC]]</f>
        <v>0</v>
      </c>
      <c r="L1079" s="8" t="s">
        <v>303</v>
      </c>
      <c r="M1079" s="8" t="s">
        <v>304</v>
      </c>
      <c r="N1079" s="8" t="s">
        <v>20</v>
      </c>
      <c r="O1079" s="8" t="s">
        <v>214</v>
      </c>
      <c r="P1079" s="8" t="s">
        <v>216</v>
      </c>
      <c r="Q1079" s="8" t="s">
        <v>217</v>
      </c>
      <c r="R1079" s="8" t="s">
        <v>451</v>
      </c>
      <c r="S1079" s="8"/>
      <c r="T1079" s="8"/>
      <c r="U1079" s="8" t="s">
        <v>262</v>
      </c>
      <c r="V1079" s="8"/>
      <c r="W1079" s="8"/>
      <c r="X1079" s="8"/>
      <c r="Y1079" s="8"/>
    </row>
    <row r="1080" spans="1:25" hidden="1" x14ac:dyDescent="0.25">
      <c r="A1080" s="283" t="s">
        <v>247</v>
      </c>
      <c r="B1080" s="260">
        <v>45800</v>
      </c>
      <c r="C1080" s="261" t="s">
        <v>571</v>
      </c>
      <c r="D1080" s="261"/>
      <c r="E1080" s="262">
        <v>121</v>
      </c>
      <c r="F1080" s="262">
        <v>0</v>
      </c>
      <c r="G1080" s="285">
        <f>Tabla3[[#This Row],[INGRESOS]]-Tabla3[[#This Row],[EGRESOS]]</f>
        <v>-121</v>
      </c>
      <c r="H1080" s="285">
        <v>1066741.19</v>
      </c>
      <c r="I1080" s="135">
        <v>1170</v>
      </c>
      <c r="J1080" s="136">
        <f>Tabla3[[#This Row],[EGRESOS]]/Tabla3[[#This Row],[TC]]</f>
        <v>0.10341880341880341</v>
      </c>
      <c r="K1080" s="136">
        <f>Tabla3[[#This Row],[INGRESOS]]/Tabla3[[#This Row],[TC]]</f>
        <v>0</v>
      </c>
      <c r="L1080" s="8" t="s">
        <v>303</v>
      </c>
      <c r="M1080" s="8" t="s">
        <v>304</v>
      </c>
      <c r="N1080" s="8" t="s">
        <v>20</v>
      </c>
      <c r="O1080" s="8" t="s">
        <v>184</v>
      </c>
      <c r="P1080" s="8" t="s">
        <v>185</v>
      </c>
      <c r="Q1080" s="8" t="s">
        <v>186</v>
      </c>
      <c r="R1080" s="8"/>
      <c r="S1080" s="8"/>
      <c r="T1080" s="8"/>
      <c r="U1080" s="8" t="s">
        <v>261</v>
      </c>
      <c r="V1080" s="8"/>
      <c r="W1080" s="8" t="s">
        <v>306</v>
      </c>
      <c r="X1080" s="8" t="s">
        <v>98</v>
      </c>
      <c r="Y1080" s="8" t="s">
        <v>23</v>
      </c>
    </row>
    <row r="1081" spans="1:25" hidden="1" x14ac:dyDescent="0.25">
      <c r="A1081" s="283" t="s">
        <v>247</v>
      </c>
      <c r="B1081" s="260">
        <v>45800</v>
      </c>
      <c r="C1081" s="261" t="s">
        <v>637</v>
      </c>
      <c r="D1081" s="261"/>
      <c r="E1081" s="262">
        <v>1.48</v>
      </c>
      <c r="F1081" s="262">
        <v>0</v>
      </c>
      <c r="G1081" s="285">
        <f>Tabla3[[#This Row],[INGRESOS]]-Tabla3[[#This Row],[EGRESOS]]</f>
        <v>-1.48</v>
      </c>
      <c r="H1081" s="285">
        <v>1036739.71</v>
      </c>
      <c r="I1081" s="135">
        <v>1170</v>
      </c>
      <c r="J1081" s="136">
        <f>Tabla3[[#This Row],[EGRESOS]]/Tabla3[[#This Row],[TC]]</f>
        <v>1.264957264957265E-3</v>
      </c>
      <c r="K1081" s="136">
        <f>Tabla3[[#This Row],[INGRESOS]]/Tabla3[[#This Row],[TC]]</f>
        <v>0</v>
      </c>
      <c r="L1081" s="8" t="s">
        <v>303</v>
      </c>
      <c r="M1081" s="8" t="s">
        <v>304</v>
      </c>
      <c r="N1081" s="8" t="s">
        <v>20</v>
      </c>
      <c r="O1081" s="8" t="s">
        <v>184</v>
      </c>
      <c r="P1081" s="8" t="s">
        <v>187</v>
      </c>
      <c r="Q1081" s="8" t="s">
        <v>188</v>
      </c>
      <c r="R1081" s="8" t="s">
        <v>317</v>
      </c>
      <c r="S1081" s="8"/>
      <c r="T1081" s="8"/>
      <c r="U1081" s="8" t="s">
        <v>261</v>
      </c>
      <c r="V1081" s="8"/>
      <c r="W1081" s="8" t="s">
        <v>306</v>
      </c>
      <c r="X1081" s="8" t="s">
        <v>98</v>
      </c>
      <c r="Y1081" s="8" t="s">
        <v>23</v>
      </c>
    </row>
    <row r="1082" spans="1:25" hidden="1" x14ac:dyDescent="0.25">
      <c r="A1082" s="283" t="s">
        <v>247</v>
      </c>
      <c r="B1082" s="260">
        <v>45800</v>
      </c>
      <c r="C1082" s="261" t="s">
        <v>637</v>
      </c>
      <c r="D1082" s="261"/>
      <c r="E1082" s="262">
        <v>466.14</v>
      </c>
      <c r="F1082" s="262">
        <v>0</v>
      </c>
      <c r="G1082" s="285">
        <f>Tabla3[[#This Row],[INGRESOS]]-Tabla3[[#This Row],[EGRESOS]]</f>
        <v>-466.14</v>
      </c>
      <c r="H1082" s="285">
        <v>1036273.57</v>
      </c>
      <c r="I1082" s="135">
        <v>1170</v>
      </c>
      <c r="J1082" s="136">
        <f>Tabla3[[#This Row],[EGRESOS]]/Tabla3[[#This Row],[TC]]</f>
        <v>0.3984102564102564</v>
      </c>
      <c r="K1082" s="136">
        <f>Tabla3[[#This Row],[INGRESOS]]/Tabla3[[#This Row],[TC]]</f>
        <v>0</v>
      </c>
      <c r="L1082" s="8" t="s">
        <v>303</v>
      </c>
      <c r="M1082" s="8" t="s">
        <v>304</v>
      </c>
      <c r="N1082" s="8" t="s">
        <v>20</v>
      </c>
      <c r="O1082" s="8" t="s">
        <v>184</v>
      </c>
      <c r="P1082" s="8" t="s">
        <v>187</v>
      </c>
      <c r="Q1082" s="8" t="s">
        <v>188</v>
      </c>
      <c r="R1082" s="8" t="s">
        <v>317</v>
      </c>
      <c r="S1082" s="8"/>
      <c r="T1082" s="8"/>
      <c r="U1082" s="8" t="s">
        <v>261</v>
      </c>
      <c r="V1082" s="8"/>
      <c r="W1082" s="8" t="s">
        <v>306</v>
      </c>
      <c r="X1082" s="8" t="s">
        <v>98</v>
      </c>
      <c r="Y1082" s="8" t="s">
        <v>23</v>
      </c>
    </row>
    <row r="1083" spans="1:25" x14ac:dyDescent="0.25">
      <c r="A1083" s="283" t="s">
        <v>247</v>
      </c>
      <c r="B1083" s="260">
        <v>45803</v>
      </c>
      <c r="C1083" s="261" t="s">
        <v>521</v>
      </c>
      <c r="D1083" s="261" t="s">
        <v>800</v>
      </c>
      <c r="E1083" s="262">
        <v>667548.46</v>
      </c>
      <c r="F1083" s="262">
        <v>0</v>
      </c>
      <c r="G1083" s="285">
        <f>Tabla3[[#This Row],[INGRESOS]]-Tabla3[[#This Row],[EGRESOS]]</f>
        <v>-667548.46</v>
      </c>
      <c r="H1083" s="285">
        <v>368725.11</v>
      </c>
      <c r="I1083" s="135">
        <v>1170</v>
      </c>
      <c r="J1083" s="136">
        <f>Tabla3[[#This Row],[EGRESOS]]/Tabla3[[#This Row],[TC]]</f>
        <v>570.55423931623932</v>
      </c>
      <c r="K1083" s="136">
        <f>Tabla3[[#This Row],[INGRESOS]]/Tabla3[[#This Row],[TC]]</f>
        <v>0</v>
      </c>
      <c r="L1083" s="8" t="s">
        <v>303</v>
      </c>
      <c r="M1083" s="8" t="s">
        <v>304</v>
      </c>
      <c r="N1083" s="8" t="s">
        <v>20</v>
      </c>
      <c r="O1083" s="8" t="s">
        <v>742</v>
      </c>
      <c r="P1083" s="8" t="s">
        <v>220</v>
      </c>
      <c r="Q1083" s="8" t="s">
        <v>231</v>
      </c>
      <c r="R1083" s="8" t="s">
        <v>142</v>
      </c>
      <c r="S1083" s="8" t="s">
        <v>588</v>
      </c>
      <c r="T1083" s="8" t="s">
        <v>801</v>
      </c>
      <c r="U1083" s="8" t="s">
        <v>258</v>
      </c>
      <c r="V1083" s="8"/>
      <c r="W1083" s="8" t="s">
        <v>306</v>
      </c>
      <c r="X1083" s="8" t="s">
        <v>29</v>
      </c>
      <c r="Y1083" s="8" t="s">
        <v>23</v>
      </c>
    </row>
    <row r="1084" spans="1:25" x14ac:dyDescent="0.25">
      <c r="A1084" s="283" t="s">
        <v>247</v>
      </c>
      <c r="B1084" s="260">
        <v>45803</v>
      </c>
      <c r="C1084" s="261" t="s">
        <v>521</v>
      </c>
      <c r="D1084" s="261" t="s">
        <v>799</v>
      </c>
      <c r="E1084" s="262">
        <v>1000000</v>
      </c>
      <c r="F1084" s="262">
        <v>0</v>
      </c>
      <c r="G1084" s="285">
        <f>Tabla3[[#This Row],[INGRESOS]]-Tabla3[[#This Row],[EGRESOS]]</f>
        <v>-1000000</v>
      </c>
      <c r="H1084" s="285">
        <v>-631274.89</v>
      </c>
      <c r="I1084" s="135">
        <v>1170</v>
      </c>
      <c r="J1084" s="136">
        <f>Tabla3[[#This Row],[EGRESOS]]/Tabla3[[#This Row],[TC]]</f>
        <v>854.70085470085473</v>
      </c>
      <c r="K1084" s="136">
        <f>Tabla3[[#This Row],[INGRESOS]]/Tabla3[[#This Row],[TC]]</f>
        <v>0</v>
      </c>
      <c r="L1084" s="8" t="s">
        <v>303</v>
      </c>
      <c r="M1084" s="8" t="s">
        <v>304</v>
      </c>
      <c r="N1084" s="8" t="s">
        <v>20</v>
      </c>
      <c r="O1084" s="8" t="s">
        <v>742</v>
      </c>
      <c r="P1084" s="8" t="s">
        <v>220</v>
      </c>
      <c r="Q1084" s="8" t="s">
        <v>231</v>
      </c>
      <c r="R1084" s="8" t="s">
        <v>142</v>
      </c>
      <c r="S1084" s="8" t="s">
        <v>588</v>
      </c>
      <c r="T1084" s="8" t="s">
        <v>697</v>
      </c>
      <c r="U1084" s="8" t="s">
        <v>258</v>
      </c>
      <c r="V1084" s="8"/>
      <c r="W1084" s="8" t="s">
        <v>306</v>
      </c>
      <c r="X1084" s="8" t="s">
        <v>29</v>
      </c>
      <c r="Y1084" s="8" t="s">
        <v>23</v>
      </c>
    </row>
    <row r="1085" spans="1:25" hidden="1" x14ac:dyDescent="0.25">
      <c r="A1085" s="283" t="s">
        <v>247</v>
      </c>
      <c r="B1085" s="260">
        <v>45803</v>
      </c>
      <c r="C1085" s="261" t="s">
        <v>542</v>
      </c>
      <c r="D1085" s="261"/>
      <c r="E1085" s="262">
        <v>1500000</v>
      </c>
      <c r="F1085" s="262">
        <v>0</v>
      </c>
      <c r="G1085" s="285">
        <f>Tabla3[[#This Row],[INGRESOS]]-Tabla3[[#This Row],[EGRESOS]]</f>
        <v>-1500000</v>
      </c>
      <c r="H1085" s="137">
        <v>-3231274.89</v>
      </c>
      <c r="I1085" s="135">
        <v>1170</v>
      </c>
      <c r="J1085" s="136">
        <f>Tabla3[[#This Row],[EGRESOS]]/Tabla3[[#This Row],[TC]]</f>
        <v>1282.051282051282</v>
      </c>
      <c r="K1085" s="136">
        <f>Tabla3[[#This Row],[INGRESOS]]/Tabla3[[#This Row],[TC]]</f>
        <v>0</v>
      </c>
      <c r="L1085" s="8" t="s">
        <v>303</v>
      </c>
      <c r="M1085" s="8" t="s">
        <v>304</v>
      </c>
      <c r="N1085" s="8" t="s">
        <v>20</v>
      </c>
      <c r="O1085" s="8" t="s">
        <v>184</v>
      </c>
      <c r="P1085" s="8" t="s">
        <v>237</v>
      </c>
      <c r="Q1085" s="8" t="s">
        <v>804</v>
      </c>
      <c r="R1085" s="8" t="s">
        <v>852</v>
      </c>
      <c r="S1085" s="8" t="s">
        <v>418</v>
      </c>
      <c r="T1085" s="8"/>
      <c r="U1085" s="8" t="s">
        <v>273</v>
      </c>
      <c r="V1085" s="8"/>
      <c r="W1085" s="8" t="s">
        <v>306</v>
      </c>
      <c r="X1085" s="8" t="s">
        <v>39</v>
      </c>
      <c r="Y1085" s="8" t="s">
        <v>23</v>
      </c>
    </row>
    <row r="1086" spans="1:25" hidden="1" x14ac:dyDescent="0.25">
      <c r="A1086" s="283" t="s">
        <v>247</v>
      </c>
      <c r="B1086" s="260">
        <v>45803</v>
      </c>
      <c r="C1086" s="261" t="s">
        <v>542</v>
      </c>
      <c r="D1086" s="261"/>
      <c r="E1086" s="262">
        <v>100000</v>
      </c>
      <c r="F1086" s="262">
        <v>0</v>
      </c>
      <c r="G1086" s="285">
        <f>Tabla3[[#This Row],[INGRESOS]]-Tabla3[[#This Row],[EGRESOS]]</f>
        <v>-100000</v>
      </c>
      <c r="H1086" s="137"/>
      <c r="I1086" s="135">
        <v>1170</v>
      </c>
      <c r="J1086" s="136">
        <f>Tabla3[[#This Row],[EGRESOS]]/Tabla3[[#This Row],[TC]]</f>
        <v>85.470085470085465</v>
      </c>
      <c r="K1086" s="136">
        <f>Tabla3[[#This Row],[INGRESOS]]/Tabla3[[#This Row],[TC]]</f>
        <v>0</v>
      </c>
      <c r="L1086" s="8" t="s">
        <v>303</v>
      </c>
      <c r="M1086" s="8" t="s">
        <v>304</v>
      </c>
      <c r="N1086" s="8" t="s">
        <v>20</v>
      </c>
      <c r="O1086" s="8" t="s">
        <v>184</v>
      </c>
      <c r="P1086" s="8" t="s">
        <v>191</v>
      </c>
      <c r="Q1086" s="8" t="s">
        <v>192</v>
      </c>
      <c r="R1086" s="8"/>
      <c r="S1086" s="8" t="s">
        <v>431</v>
      </c>
      <c r="T1086" s="8"/>
      <c r="U1086" s="8" t="s">
        <v>266</v>
      </c>
      <c r="V1086" s="8"/>
      <c r="W1086" s="8" t="s">
        <v>306</v>
      </c>
      <c r="X1086" s="8" t="s">
        <v>98</v>
      </c>
      <c r="Y1086" s="8" t="s">
        <v>23</v>
      </c>
    </row>
    <row r="1087" spans="1:25" hidden="1" x14ac:dyDescent="0.25">
      <c r="A1087" s="283" t="s">
        <v>247</v>
      </c>
      <c r="B1087" s="260">
        <v>45803</v>
      </c>
      <c r="C1087" s="261" t="s">
        <v>542</v>
      </c>
      <c r="D1087" s="261"/>
      <c r="E1087" s="262">
        <v>1000000</v>
      </c>
      <c r="F1087" s="262">
        <v>0</v>
      </c>
      <c r="G1087" s="285">
        <f>Tabla3[[#This Row],[INGRESOS]]-Tabla3[[#This Row],[EGRESOS]]</f>
        <v>-1000000</v>
      </c>
      <c r="H1087" s="137"/>
      <c r="I1087" s="135">
        <v>1170</v>
      </c>
      <c r="J1087" s="136">
        <f>Tabla3[[#This Row],[EGRESOS]]/Tabla3[[#This Row],[TC]]</f>
        <v>854.70085470085473</v>
      </c>
      <c r="K1087" s="136">
        <f>Tabla3[[#This Row],[INGRESOS]]/Tabla3[[#This Row],[TC]]</f>
        <v>0</v>
      </c>
      <c r="L1087" s="8" t="s">
        <v>303</v>
      </c>
      <c r="M1087" s="8" t="s">
        <v>304</v>
      </c>
      <c r="N1087" s="8" t="s">
        <v>20</v>
      </c>
      <c r="O1087" s="8" t="s">
        <v>184</v>
      </c>
      <c r="P1087" s="8" t="s">
        <v>194</v>
      </c>
      <c r="Q1087" s="8" t="s">
        <v>196</v>
      </c>
      <c r="R1087" s="8" t="s">
        <v>803</v>
      </c>
      <c r="S1087" s="8" t="s">
        <v>311</v>
      </c>
      <c r="T1087" s="8"/>
      <c r="U1087" s="8" t="s">
        <v>277</v>
      </c>
      <c r="V1087" s="8" t="s">
        <v>311</v>
      </c>
      <c r="W1087" s="8" t="s">
        <v>306</v>
      </c>
      <c r="X1087" s="8" t="s">
        <v>103</v>
      </c>
      <c r="Y1087" s="8" t="s">
        <v>23</v>
      </c>
    </row>
    <row r="1088" spans="1:25" hidden="1" x14ac:dyDescent="0.25">
      <c r="A1088" s="283" t="s">
        <v>247</v>
      </c>
      <c r="B1088" s="260">
        <v>45803</v>
      </c>
      <c r="C1088" s="261" t="s">
        <v>571</v>
      </c>
      <c r="D1088" s="261"/>
      <c r="E1088" s="262">
        <v>121</v>
      </c>
      <c r="F1088" s="262">
        <v>0</v>
      </c>
      <c r="G1088" s="285">
        <f>Tabla3[[#This Row],[INGRESOS]]-Tabla3[[#This Row],[EGRESOS]]</f>
        <v>-121</v>
      </c>
      <c r="H1088" s="137">
        <v>-3231395.89</v>
      </c>
      <c r="I1088" s="135">
        <v>1170</v>
      </c>
      <c r="J1088" s="136">
        <f>Tabla3[[#This Row],[EGRESOS]]/Tabla3[[#This Row],[TC]]</f>
        <v>0.10341880341880341</v>
      </c>
      <c r="K1088" s="136">
        <f>Tabla3[[#This Row],[INGRESOS]]/Tabla3[[#This Row],[TC]]</f>
        <v>0</v>
      </c>
      <c r="L1088" s="8" t="s">
        <v>303</v>
      </c>
      <c r="M1088" s="8" t="s">
        <v>304</v>
      </c>
      <c r="N1088" s="8" t="s">
        <v>20</v>
      </c>
      <c r="O1088" s="8" t="s">
        <v>184</v>
      </c>
      <c r="P1088" s="8" t="s">
        <v>185</v>
      </c>
      <c r="Q1088" s="8" t="s">
        <v>186</v>
      </c>
      <c r="R1088" s="8"/>
      <c r="S1088" s="8"/>
      <c r="T1088" s="8"/>
      <c r="U1088" s="8" t="s">
        <v>261</v>
      </c>
      <c r="V1088" s="8"/>
      <c r="W1088" s="8" t="s">
        <v>306</v>
      </c>
      <c r="X1088" s="8" t="s">
        <v>98</v>
      </c>
      <c r="Y1088" s="8" t="s">
        <v>23</v>
      </c>
    </row>
    <row r="1089" spans="1:25" hidden="1" x14ac:dyDescent="0.25">
      <c r="A1089" s="283" t="s">
        <v>247</v>
      </c>
      <c r="B1089" s="260">
        <v>45803</v>
      </c>
      <c r="C1089" s="261" t="s">
        <v>637</v>
      </c>
      <c r="D1089" s="261"/>
      <c r="E1089" s="262">
        <v>25606.02</v>
      </c>
      <c r="F1089" s="262">
        <v>0</v>
      </c>
      <c r="G1089" s="285">
        <f>Tabla3[[#This Row],[INGRESOS]]-Tabla3[[#This Row],[EGRESOS]]</f>
        <v>-25606.02</v>
      </c>
      <c r="H1089" s="137">
        <v>-3257001.91</v>
      </c>
      <c r="I1089" s="135">
        <v>1170</v>
      </c>
      <c r="J1089" s="136">
        <f>Tabla3[[#This Row],[EGRESOS]]/Tabla3[[#This Row],[TC]]</f>
        <v>21.885487179487178</v>
      </c>
      <c r="K1089" s="136">
        <f>Tabla3[[#This Row],[INGRESOS]]/Tabla3[[#This Row],[TC]]</f>
        <v>0</v>
      </c>
      <c r="L1089" s="8" t="s">
        <v>303</v>
      </c>
      <c r="M1089" s="8" t="s">
        <v>304</v>
      </c>
      <c r="N1089" s="8" t="s">
        <v>20</v>
      </c>
      <c r="O1089" s="8" t="s">
        <v>184</v>
      </c>
      <c r="P1089" s="8" t="s">
        <v>187</v>
      </c>
      <c r="Q1089" s="8" t="s">
        <v>188</v>
      </c>
      <c r="R1089" s="8" t="s">
        <v>317</v>
      </c>
      <c r="S1089" s="8"/>
      <c r="T1089" s="8"/>
      <c r="U1089" s="8" t="s">
        <v>261</v>
      </c>
      <c r="V1089" s="8"/>
      <c r="W1089" s="8" t="s">
        <v>306</v>
      </c>
      <c r="X1089" s="8" t="s">
        <v>98</v>
      </c>
      <c r="Y1089" s="8" t="s">
        <v>23</v>
      </c>
    </row>
    <row r="1090" spans="1:25" hidden="1" x14ac:dyDescent="0.25">
      <c r="A1090" s="283" t="s">
        <v>247</v>
      </c>
      <c r="B1090" s="260">
        <v>45804</v>
      </c>
      <c r="C1090" s="261" t="s">
        <v>521</v>
      </c>
      <c r="D1090" s="261" t="s">
        <v>805</v>
      </c>
      <c r="E1090" s="262">
        <v>100000</v>
      </c>
      <c r="F1090" s="262">
        <v>0</v>
      </c>
      <c r="G1090" s="285">
        <f>Tabla3[[#This Row],[INGRESOS]]-Tabla3[[#This Row],[EGRESOS]]</f>
        <v>-100000</v>
      </c>
      <c r="H1090" s="285">
        <v>-3357001.91</v>
      </c>
      <c r="I1090" s="135">
        <v>1170</v>
      </c>
      <c r="J1090" s="136">
        <f>Tabla3[[#This Row],[EGRESOS]]/Tabla3[[#This Row],[TC]]</f>
        <v>85.470085470085465</v>
      </c>
      <c r="K1090" s="136">
        <f>Tabla3[[#This Row],[INGRESOS]]/Tabla3[[#This Row],[TC]]</f>
        <v>0</v>
      </c>
      <c r="L1090" s="8" t="s">
        <v>303</v>
      </c>
      <c r="M1090" s="8" t="s">
        <v>304</v>
      </c>
      <c r="N1090" s="8" t="s">
        <v>20</v>
      </c>
      <c r="O1090" s="8" t="s">
        <v>184</v>
      </c>
      <c r="P1090" s="8" t="s">
        <v>237</v>
      </c>
      <c r="Q1090" s="8" t="s">
        <v>248</v>
      </c>
      <c r="R1090" s="8" t="s">
        <v>806</v>
      </c>
      <c r="S1090" s="8" t="s">
        <v>365</v>
      </c>
      <c r="T1090" s="8"/>
      <c r="U1090" s="8" t="s">
        <v>273</v>
      </c>
      <c r="V1090" s="8"/>
      <c r="W1090" s="8" t="s">
        <v>306</v>
      </c>
      <c r="X1090" s="8" t="s">
        <v>45</v>
      </c>
      <c r="Y1090" s="8" t="s">
        <v>23</v>
      </c>
    </row>
    <row r="1091" spans="1:25" hidden="1" x14ac:dyDescent="0.25">
      <c r="A1091" s="283" t="s">
        <v>247</v>
      </c>
      <c r="B1091" s="260">
        <v>45804</v>
      </c>
      <c r="C1091" s="261" t="s">
        <v>542</v>
      </c>
      <c r="D1091" s="261"/>
      <c r="E1091" s="262">
        <v>350000</v>
      </c>
      <c r="F1091" s="262">
        <v>0</v>
      </c>
      <c r="G1091" s="285">
        <f>Tabla3[[#This Row],[INGRESOS]]-Tabla3[[#This Row],[EGRESOS]]</f>
        <v>-350000</v>
      </c>
      <c r="H1091" s="285">
        <v>-3707001.91</v>
      </c>
      <c r="I1091" s="135">
        <v>1170</v>
      </c>
      <c r="J1091" s="136">
        <f>Tabla3[[#This Row],[EGRESOS]]/Tabla3[[#This Row],[TC]]</f>
        <v>299.14529914529913</v>
      </c>
      <c r="K1091" s="136">
        <f>Tabla3[[#This Row],[INGRESOS]]/Tabla3[[#This Row],[TC]]</f>
        <v>0</v>
      </c>
      <c r="L1091" s="8" t="s">
        <v>303</v>
      </c>
      <c r="M1091" s="8" t="s">
        <v>304</v>
      </c>
      <c r="N1091" s="8" t="s">
        <v>20</v>
      </c>
      <c r="O1091" s="8" t="s">
        <v>184</v>
      </c>
      <c r="P1091" s="8" t="s">
        <v>194</v>
      </c>
      <c r="Q1091" s="8" t="s">
        <v>196</v>
      </c>
      <c r="R1091" s="8"/>
      <c r="S1091" s="8" t="s">
        <v>311</v>
      </c>
      <c r="T1091" s="8"/>
      <c r="U1091" s="8" t="s">
        <v>277</v>
      </c>
      <c r="V1091" s="8" t="s">
        <v>311</v>
      </c>
      <c r="W1091" s="8" t="s">
        <v>306</v>
      </c>
      <c r="X1091" s="8" t="s">
        <v>103</v>
      </c>
      <c r="Y1091" s="8" t="s">
        <v>23</v>
      </c>
    </row>
    <row r="1092" spans="1:25" hidden="1" x14ac:dyDescent="0.25">
      <c r="A1092" s="283" t="s">
        <v>247</v>
      </c>
      <c r="B1092" s="260">
        <v>45804</v>
      </c>
      <c r="C1092" s="261" t="s">
        <v>571</v>
      </c>
      <c r="D1092" s="261"/>
      <c r="E1092" s="262">
        <v>121</v>
      </c>
      <c r="F1092" s="262">
        <v>0</v>
      </c>
      <c r="G1092" s="285">
        <f>Tabla3[[#This Row],[INGRESOS]]-Tabla3[[#This Row],[EGRESOS]]</f>
        <v>-121</v>
      </c>
      <c r="H1092" s="285">
        <v>-3707122.91</v>
      </c>
      <c r="I1092" s="135">
        <v>1170</v>
      </c>
      <c r="J1092" s="136">
        <f>Tabla3[[#This Row],[EGRESOS]]/Tabla3[[#This Row],[TC]]</f>
        <v>0.10341880341880341</v>
      </c>
      <c r="K1092" s="136">
        <f>Tabla3[[#This Row],[INGRESOS]]/Tabla3[[#This Row],[TC]]</f>
        <v>0</v>
      </c>
      <c r="L1092" s="8" t="s">
        <v>303</v>
      </c>
      <c r="M1092" s="8" t="s">
        <v>304</v>
      </c>
      <c r="N1092" s="8" t="s">
        <v>20</v>
      </c>
      <c r="O1092" s="8" t="s">
        <v>184</v>
      </c>
      <c r="P1092" s="8" t="s">
        <v>185</v>
      </c>
      <c r="Q1092" s="8" t="s">
        <v>186</v>
      </c>
      <c r="R1092" s="8"/>
      <c r="S1092" s="8"/>
      <c r="T1092" s="8"/>
      <c r="U1092" s="8" t="s">
        <v>261</v>
      </c>
      <c r="V1092" s="8"/>
      <c r="W1092" s="8" t="s">
        <v>306</v>
      </c>
      <c r="X1092" s="8" t="s">
        <v>98</v>
      </c>
      <c r="Y1092" s="8" t="s">
        <v>23</v>
      </c>
    </row>
    <row r="1093" spans="1:25" hidden="1" x14ac:dyDescent="0.25">
      <c r="A1093" s="283" t="s">
        <v>247</v>
      </c>
      <c r="B1093" s="260">
        <v>45804</v>
      </c>
      <c r="C1093" s="261" t="s">
        <v>507</v>
      </c>
      <c r="D1093" s="261"/>
      <c r="E1093" s="262">
        <v>2440.1999999999998</v>
      </c>
      <c r="F1093" s="262">
        <v>0</v>
      </c>
      <c r="G1093" s="285">
        <f>Tabla3[[#This Row],[INGRESOS]]-Tabla3[[#This Row],[EGRESOS]]</f>
        <v>-2440.1999999999998</v>
      </c>
      <c r="H1093" s="285">
        <v>-3709563.11</v>
      </c>
      <c r="I1093" s="135">
        <v>1170</v>
      </c>
      <c r="J1093" s="136">
        <f>Tabla3[[#This Row],[EGRESOS]]/Tabla3[[#This Row],[TC]]</f>
        <v>2.0856410256410256</v>
      </c>
      <c r="K1093" s="136">
        <f>Tabla3[[#This Row],[INGRESOS]]/Tabla3[[#This Row],[TC]]</f>
        <v>0</v>
      </c>
      <c r="L1093" s="8" t="s">
        <v>303</v>
      </c>
      <c r="M1093" s="8" t="s">
        <v>304</v>
      </c>
      <c r="N1093" s="8" t="s">
        <v>20</v>
      </c>
      <c r="O1093" s="8" t="s">
        <v>184</v>
      </c>
      <c r="P1093" s="8" t="s">
        <v>187</v>
      </c>
      <c r="Q1093" s="8" t="s">
        <v>188</v>
      </c>
      <c r="R1093" s="8" t="s">
        <v>308</v>
      </c>
      <c r="S1093" s="8"/>
      <c r="T1093" s="8"/>
      <c r="U1093" s="8" t="s">
        <v>261</v>
      </c>
      <c r="V1093" s="8"/>
      <c r="W1093" s="8" t="s">
        <v>306</v>
      </c>
      <c r="X1093" s="8" t="s">
        <v>98</v>
      </c>
      <c r="Y1093" s="8" t="s">
        <v>23</v>
      </c>
    </row>
    <row r="1094" spans="1:25" hidden="1" x14ac:dyDescent="0.25">
      <c r="A1094" s="283" t="s">
        <v>247</v>
      </c>
      <c r="B1094" s="260">
        <v>45804</v>
      </c>
      <c r="C1094" s="261" t="s">
        <v>508</v>
      </c>
      <c r="D1094" s="261"/>
      <c r="E1094" s="262">
        <v>348.6</v>
      </c>
      <c r="F1094" s="262">
        <v>0</v>
      </c>
      <c r="G1094" s="285">
        <f>Tabla3[[#This Row],[INGRESOS]]-Tabla3[[#This Row],[EGRESOS]]</f>
        <v>-348.6</v>
      </c>
      <c r="H1094" s="285">
        <v>-3709911.71</v>
      </c>
      <c r="I1094" s="135">
        <v>1170</v>
      </c>
      <c r="J1094" s="136">
        <f>Tabla3[[#This Row],[EGRESOS]]/Tabla3[[#This Row],[TC]]</f>
        <v>0.29794871794871797</v>
      </c>
      <c r="K1094" s="136">
        <f>Tabla3[[#This Row],[INGRESOS]]/Tabla3[[#This Row],[TC]]</f>
        <v>0</v>
      </c>
      <c r="L1094" s="8" t="s">
        <v>303</v>
      </c>
      <c r="M1094" s="8" t="s">
        <v>304</v>
      </c>
      <c r="N1094" s="8" t="s">
        <v>20</v>
      </c>
      <c r="O1094" s="8" t="s">
        <v>184</v>
      </c>
      <c r="P1094" s="8" t="s">
        <v>187</v>
      </c>
      <c r="Q1094" s="8" t="s">
        <v>188</v>
      </c>
      <c r="R1094" s="8" t="s">
        <v>334</v>
      </c>
      <c r="S1094" s="8"/>
      <c r="T1094" s="8"/>
      <c r="U1094" s="8" t="s">
        <v>261</v>
      </c>
      <c r="V1094" s="8"/>
      <c r="W1094" s="8" t="s">
        <v>306</v>
      </c>
      <c r="X1094" s="8" t="s">
        <v>98</v>
      </c>
      <c r="Y1094" s="8" t="s">
        <v>23</v>
      </c>
    </row>
    <row r="1095" spans="1:25" hidden="1" x14ac:dyDescent="0.25">
      <c r="A1095" s="283" t="s">
        <v>247</v>
      </c>
      <c r="B1095" s="260">
        <v>45804</v>
      </c>
      <c r="C1095" s="261" t="s">
        <v>580</v>
      </c>
      <c r="D1095" s="261"/>
      <c r="E1095" s="262">
        <v>11620</v>
      </c>
      <c r="F1095" s="262">
        <v>0</v>
      </c>
      <c r="G1095" s="285">
        <f>Tabla3[[#This Row],[INGRESOS]]-Tabla3[[#This Row],[EGRESOS]]</f>
        <v>-11620</v>
      </c>
      <c r="H1095" s="285">
        <v>-3721531.71</v>
      </c>
      <c r="I1095" s="135">
        <v>1170</v>
      </c>
      <c r="J1095" s="136">
        <f>Tabla3[[#This Row],[EGRESOS]]/Tabla3[[#This Row],[TC]]</f>
        <v>9.9316239316239319</v>
      </c>
      <c r="K1095" s="136">
        <f>Tabla3[[#This Row],[INGRESOS]]/Tabla3[[#This Row],[TC]]</f>
        <v>0</v>
      </c>
      <c r="L1095" s="8" t="s">
        <v>303</v>
      </c>
      <c r="M1095" s="8" t="s">
        <v>304</v>
      </c>
      <c r="N1095" s="8" t="s">
        <v>20</v>
      </c>
      <c r="O1095" s="8" t="s">
        <v>184</v>
      </c>
      <c r="P1095" s="8" t="s">
        <v>185</v>
      </c>
      <c r="Q1095" s="8" t="s">
        <v>186</v>
      </c>
      <c r="R1095" s="8"/>
      <c r="S1095" s="8"/>
      <c r="T1095" s="8"/>
      <c r="U1095" s="8" t="s">
        <v>261</v>
      </c>
      <c r="V1095" s="8"/>
      <c r="W1095" s="8" t="s">
        <v>306</v>
      </c>
      <c r="X1095" s="8" t="s">
        <v>98</v>
      </c>
      <c r="Y1095" s="8" t="s">
        <v>23</v>
      </c>
    </row>
    <row r="1096" spans="1:25" hidden="1" x14ac:dyDescent="0.25">
      <c r="A1096" s="283" t="s">
        <v>247</v>
      </c>
      <c r="B1096" s="260">
        <v>45804</v>
      </c>
      <c r="C1096" s="261" t="s">
        <v>637</v>
      </c>
      <c r="D1096" s="261"/>
      <c r="E1096" s="262">
        <v>2787.18</v>
      </c>
      <c r="F1096" s="262">
        <v>0</v>
      </c>
      <c r="G1096" s="285">
        <f>Tabla3[[#This Row],[INGRESOS]]-Tabla3[[#This Row],[EGRESOS]]</f>
        <v>-2787.18</v>
      </c>
      <c r="H1096" s="285">
        <v>-3724318.89</v>
      </c>
      <c r="I1096" s="135">
        <v>1170</v>
      </c>
      <c r="J1096" s="136">
        <f>Tabla3[[#This Row],[EGRESOS]]/Tabla3[[#This Row],[TC]]</f>
        <v>2.3822051282051282</v>
      </c>
      <c r="K1096" s="136">
        <f>Tabla3[[#This Row],[INGRESOS]]/Tabla3[[#This Row],[TC]]</f>
        <v>0</v>
      </c>
      <c r="L1096" s="8" t="s">
        <v>303</v>
      </c>
      <c r="M1096" s="8" t="s">
        <v>304</v>
      </c>
      <c r="N1096" s="8" t="s">
        <v>20</v>
      </c>
      <c r="O1096" s="8" t="s">
        <v>184</v>
      </c>
      <c r="P1096" s="8" t="s">
        <v>187</v>
      </c>
      <c r="Q1096" s="8" t="s">
        <v>188</v>
      </c>
      <c r="R1096" s="8" t="s">
        <v>317</v>
      </c>
      <c r="S1096" s="8"/>
      <c r="T1096" s="8"/>
      <c r="U1096" s="8" t="s">
        <v>261</v>
      </c>
      <c r="V1096" s="8"/>
      <c r="W1096" s="8" t="s">
        <v>306</v>
      </c>
      <c r="X1096" s="8" t="s">
        <v>98</v>
      </c>
      <c r="Y1096" s="8" t="s">
        <v>23</v>
      </c>
    </row>
    <row r="1097" spans="1:25" hidden="1" x14ac:dyDescent="0.25">
      <c r="A1097" s="283" t="s">
        <v>247</v>
      </c>
      <c r="B1097" s="260">
        <v>45805</v>
      </c>
      <c r="C1097" s="261" t="s">
        <v>521</v>
      </c>
      <c r="D1097" s="261" t="s">
        <v>807</v>
      </c>
      <c r="E1097" s="262">
        <v>179907.08</v>
      </c>
      <c r="F1097" s="262">
        <v>0</v>
      </c>
      <c r="G1097" s="285">
        <f>Tabla3[[#This Row],[INGRESOS]]-Tabla3[[#This Row],[EGRESOS]]</f>
        <v>-179907.08</v>
      </c>
      <c r="H1097" s="285">
        <v>-3904225.97</v>
      </c>
      <c r="I1097" s="135">
        <v>1170</v>
      </c>
      <c r="J1097" s="136">
        <f>Tabla3[[#This Row],[EGRESOS]]/Tabla3[[#This Row],[TC]]</f>
        <v>153.76673504273504</v>
      </c>
      <c r="K1097" s="136">
        <f>Tabla3[[#This Row],[INGRESOS]]/Tabla3[[#This Row],[TC]]</f>
        <v>0</v>
      </c>
      <c r="L1097" s="8" t="s">
        <v>303</v>
      </c>
      <c r="M1097" s="8" t="s">
        <v>304</v>
      </c>
      <c r="N1097" s="8" t="s">
        <v>20</v>
      </c>
      <c r="O1097" s="8" t="s">
        <v>204</v>
      </c>
      <c r="P1097" s="8" t="s">
        <v>205</v>
      </c>
      <c r="Q1097" s="8"/>
      <c r="R1097" s="8"/>
      <c r="S1097" s="8" t="s">
        <v>559</v>
      </c>
      <c r="T1097" s="8" t="s">
        <v>808</v>
      </c>
      <c r="U1097" s="8" t="s">
        <v>258</v>
      </c>
      <c r="V1097" s="8"/>
      <c r="W1097" s="8" t="s">
        <v>306</v>
      </c>
      <c r="X1097" s="8" t="s">
        <v>29</v>
      </c>
      <c r="Y1097" s="8" t="s">
        <v>23</v>
      </c>
    </row>
    <row r="1098" spans="1:25" hidden="1" x14ac:dyDescent="0.25">
      <c r="A1098" s="283" t="s">
        <v>247</v>
      </c>
      <c r="B1098" s="260">
        <v>45805</v>
      </c>
      <c r="C1098" s="261" t="s">
        <v>323</v>
      </c>
      <c r="D1098" s="261"/>
      <c r="E1098" s="262">
        <v>2750000</v>
      </c>
      <c r="F1098" s="262">
        <v>0</v>
      </c>
      <c r="G1098" s="285">
        <f>Tabla3[[#This Row],[INGRESOS]]-Tabla3[[#This Row],[EGRESOS]]</f>
        <v>-2750000</v>
      </c>
      <c r="H1098" s="285">
        <v>-6654225.9699999997</v>
      </c>
      <c r="I1098" s="135">
        <v>1170</v>
      </c>
      <c r="J1098" s="136">
        <f>Tabla3[[#This Row],[EGRESOS]]/Tabla3[[#This Row],[TC]]</f>
        <v>2350.4273504273506</v>
      </c>
      <c r="K1098" s="136">
        <f>Tabla3[[#This Row],[INGRESOS]]/Tabla3[[#This Row],[TC]]</f>
        <v>0</v>
      </c>
      <c r="L1098" s="8" t="s">
        <v>303</v>
      </c>
      <c r="M1098" s="8" t="s">
        <v>304</v>
      </c>
      <c r="N1098" s="8" t="s">
        <v>20</v>
      </c>
      <c r="O1098" s="8" t="s">
        <v>214</v>
      </c>
      <c r="P1098" s="8" t="s">
        <v>216</v>
      </c>
      <c r="Q1098" s="8" t="s">
        <v>217</v>
      </c>
      <c r="R1098" s="8" t="s">
        <v>686</v>
      </c>
      <c r="S1098" s="8"/>
      <c r="T1098" s="8"/>
      <c r="U1098" s="8" t="s">
        <v>262</v>
      </c>
      <c r="V1098" s="8"/>
      <c r="W1098" s="8"/>
      <c r="X1098" s="8"/>
      <c r="Y1098" s="8"/>
    </row>
    <row r="1099" spans="1:25" hidden="1" x14ac:dyDescent="0.25">
      <c r="A1099" s="283" t="s">
        <v>247</v>
      </c>
      <c r="B1099" s="260">
        <v>45805</v>
      </c>
      <c r="C1099" s="261" t="s">
        <v>571</v>
      </c>
      <c r="D1099" s="261"/>
      <c r="E1099" s="262">
        <v>121</v>
      </c>
      <c r="F1099" s="262">
        <v>0</v>
      </c>
      <c r="G1099" s="285">
        <f>Tabla3[[#This Row],[INGRESOS]]-Tabla3[[#This Row],[EGRESOS]]</f>
        <v>-121</v>
      </c>
      <c r="H1099" s="285">
        <v>-6654346.9699999997</v>
      </c>
      <c r="I1099" s="135">
        <v>1170</v>
      </c>
      <c r="J1099" s="136">
        <f>Tabla3[[#This Row],[EGRESOS]]/Tabla3[[#This Row],[TC]]</f>
        <v>0.10341880341880341</v>
      </c>
      <c r="K1099" s="136">
        <f>Tabla3[[#This Row],[INGRESOS]]/Tabla3[[#This Row],[TC]]</f>
        <v>0</v>
      </c>
      <c r="L1099" s="8" t="s">
        <v>303</v>
      </c>
      <c r="M1099" s="8" t="s">
        <v>304</v>
      </c>
      <c r="N1099" s="8" t="s">
        <v>20</v>
      </c>
      <c r="O1099" s="8" t="s">
        <v>184</v>
      </c>
      <c r="P1099" s="8" t="s">
        <v>185</v>
      </c>
      <c r="Q1099" s="8" t="s">
        <v>186</v>
      </c>
      <c r="R1099" s="8"/>
      <c r="S1099" s="8"/>
      <c r="T1099" s="8"/>
      <c r="U1099" s="8" t="s">
        <v>261</v>
      </c>
      <c r="V1099" s="8"/>
      <c r="W1099" s="8" t="s">
        <v>306</v>
      </c>
      <c r="X1099" s="8" t="s">
        <v>98</v>
      </c>
      <c r="Y1099" s="8" t="s">
        <v>23</v>
      </c>
    </row>
    <row r="1100" spans="1:25" hidden="1" x14ac:dyDescent="0.25">
      <c r="A1100" s="283" t="s">
        <v>247</v>
      </c>
      <c r="B1100" s="260">
        <v>45805</v>
      </c>
      <c r="C1100" s="261" t="s">
        <v>542</v>
      </c>
      <c r="D1100" s="261"/>
      <c r="E1100" s="262">
        <v>858500</v>
      </c>
      <c r="F1100" s="262">
        <v>0</v>
      </c>
      <c r="G1100" s="285">
        <f>Tabla3[[#This Row],[INGRESOS]]-Tabla3[[#This Row],[EGRESOS]]</f>
        <v>-858500</v>
      </c>
      <c r="H1100" s="285">
        <v>-7512846.9699999997</v>
      </c>
      <c r="I1100" s="135">
        <v>1170</v>
      </c>
      <c r="J1100" s="136">
        <f>Tabla3[[#This Row],[EGRESOS]]/Tabla3[[#This Row],[TC]]</f>
        <v>733.76068376068372</v>
      </c>
      <c r="K1100" s="136">
        <f>Tabla3[[#This Row],[INGRESOS]]/Tabla3[[#This Row],[TC]]</f>
        <v>0</v>
      </c>
      <c r="L1100" s="8" t="s">
        <v>303</v>
      </c>
      <c r="M1100" s="8" t="s">
        <v>304</v>
      </c>
      <c r="N1100" s="8" t="s">
        <v>20</v>
      </c>
      <c r="O1100" s="8" t="s">
        <v>184</v>
      </c>
      <c r="P1100" s="8" t="s">
        <v>237</v>
      </c>
      <c r="Q1100" s="8" t="s">
        <v>248</v>
      </c>
      <c r="R1100" s="8" t="s">
        <v>814</v>
      </c>
      <c r="S1100" s="8" t="s">
        <v>365</v>
      </c>
      <c r="T1100" s="8"/>
      <c r="U1100" s="8" t="s">
        <v>273</v>
      </c>
      <c r="V1100" s="8"/>
      <c r="W1100" s="8" t="s">
        <v>306</v>
      </c>
      <c r="X1100" s="8" t="s">
        <v>45</v>
      </c>
      <c r="Y1100" s="8" t="s">
        <v>23</v>
      </c>
    </row>
    <row r="1101" spans="1:25" hidden="1" x14ac:dyDescent="0.25">
      <c r="A1101" s="283" t="s">
        <v>247</v>
      </c>
      <c r="B1101" s="260">
        <v>45805</v>
      </c>
      <c r="C1101" s="261" t="s">
        <v>571</v>
      </c>
      <c r="D1101" s="261"/>
      <c r="E1101" s="262">
        <v>121</v>
      </c>
      <c r="F1101" s="262">
        <v>0</v>
      </c>
      <c r="G1101" s="285">
        <f>Tabla3[[#This Row],[INGRESOS]]-Tabla3[[#This Row],[EGRESOS]]</f>
        <v>-121</v>
      </c>
      <c r="H1101" s="285">
        <v>-7512967.9699999997</v>
      </c>
      <c r="I1101" s="135">
        <v>1170</v>
      </c>
      <c r="J1101" s="136">
        <f>Tabla3[[#This Row],[EGRESOS]]/Tabla3[[#This Row],[TC]]</f>
        <v>0.10341880341880341</v>
      </c>
      <c r="K1101" s="136">
        <f>Tabla3[[#This Row],[INGRESOS]]/Tabla3[[#This Row],[TC]]</f>
        <v>0</v>
      </c>
      <c r="L1101" s="8" t="s">
        <v>303</v>
      </c>
      <c r="M1101" s="8" t="s">
        <v>304</v>
      </c>
      <c r="N1101" s="8" t="s">
        <v>20</v>
      </c>
      <c r="O1101" s="8" t="s">
        <v>184</v>
      </c>
      <c r="P1101" s="8" t="s">
        <v>185</v>
      </c>
      <c r="Q1101" s="8" t="s">
        <v>186</v>
      </c>
      <c r="R1101" s="8"/>
      <c r="S1101" s="8"/>
      <c r="T1101" s="8"/>
      <c r="U1101" s="8" t="s">
        <v>261</v>
      </c>
      <c r="V1101" s="8"/>
      <c r="W1101" s="8" t="s">
        <v>306</v>
      </c>
      <c r="X1101" s="8" t="s">
        <v>98</v>
      </c>
      <c r="Y1101" s="8" t="s">
        <v>23</v>
      </c>
    </row>
    <row r="1102" spans="1:25" hidden="1" x14ac:dyDescent="0.25">
      <c r="A1102" s="283" t="s">
        <v>247</v>
      </c>
      <c r="B1102" s="260">
        <v>45805</v>
      </c>
      <c r="C1102" s="261" t="s">
        <v>637</v>
      </c>
      <c r="D1102" s="261"/>
      <c r="E1102" s="262">
        <v>6231.9</v>
      </c>
      <c r="F1102" s="262">
        <v>0</v>
      </c>
      <c r="G1102" s="285">
        <f>Tabla3[[#This Row],[INGRESOS]]-Tabla3[[#This Row],[EGRESOS]]</f>
        <v>-6231.9</v>
      </c>
      <c r="H1102" s="285">
        <v>-7519199.8700000001</v>
      </c>
      <c r="I1102" s="135">
        <v>1170</v>
      </c>
      <c r="J1102" s="136">
        <f>Tabla3[[#This Row],[EGRESOS]]/Tabla3[[#This Row],[TC]]</f>
        <v>5.3264102564102558</v>
      </c>
      <c r="K1102" s="136">
        <f>Tabla3[[#This Row],[INGRESOS]]/Tabla3[[#This Row],[TC]]</f>
        <v>0</v>
      </c>
      <c r="L1102" s="8" t="s">
        <v>303</v>
      </c>
      <c r="M1102" s="8" t="s">
        <v>304</v>
      </c>
      <c r="N1102" s="8" t="s">
        <v>20</v>
      </c>
      <c r="O1102" s="8" t="s">
        <v>184</v>
      </c>
      <c r="P1102" s="8" t="s">
        <v>187</v>
      </c>
      <c r="Q1102" s="8" t="s">
        <v>188</v>
      </c>
      <c r="R1102" s="8" t="s">
        <v>317</v>
      </c>
      <c r="S1102" s="8"/>
      <c r="T1102" s="8"/>
      <c r="U1102" s="8" t="s">
        <v>261</v>
      </c>
      <c r="V1102" s="8"/>
      <c r="W1102" s="8" t="s">
        <v>306</v>
      </c>
      <c r="X1102" s="8" t="s">
        <v>98</v>
      </c>
      <c r="Y1102" s="8" t="s">
        <v>23</v>
      </c>
    </row>
    <row r="1103" spans="1:25" hidden="1" x14ac:dyDescent="0.25">
      <c r="A1103" s="283" t="s">
        <v>247</v>
      </c>
      <c r="B1103" s="260">
        <v>45806</v>
      </c>
      <c r="C1103" s="261" t="s">
        <v>521</v>
      </c>
      <c r="D1103" s="261" t="s">
        <v>813</v>
      </c>
      <c r="E1103" s="262">
        <v>879500</v>
      </c>
      <c r="F1103" s="262">
        <v>0</v>
      </c>
      <c r="G1103" s="285">
        <f>Tabla3[[#This Row],[INGRESOS]]-Tabla3[[#This Row],[EGRESOS]]</f>
        <v>-879500</v>
      </c>
      <c r="H1103" s="285">
        <v>-8398699.8699999992</v>
      </c>
      <c r="I1103" s="135">
        <v>1170</v>
      </c>
      <c r="J1103" s="136">
        <f>Tabla3[[#This Row],[EGRESOS]]/Tabla3[[#This Row],[TC]]</f>
        <v>751.70940170940173</v>
      </c>
      <c r="K1103" s="136">
        <f>Tabla3[[#This Row],[INGRESOS]]/Tabla3[[#This Row],[TC]]</f>
        <v>0</v>
      </c>
      <c r="L1103" s="8" t="s">
        <v>303</v>
      </c>
      <c r="M1103" s="8" t="s">
        <v>304</v>
      </c>
      <c r="N1103" s="8" t="s">
        <v>20</v>
      </c>
      <c r="O1103" s="8" t="s">
        <v>204</v>
      </c>
      <c r="P1103" s="8" t="s">
        <v>210</v>
      </c>
      <c r="Q1103" s="8" t="s">
        <v>230</v>
      </c>
      <c r="R1103" s="8"/>
      <c r="S1103" s="8" t="s">
        <v>469</v>
      </c>
      <c r="T1103" s="8"/>
      <c r="U1103" s="8" t="s">
        <v>258</v>
      </c>
      <c r="V1103" s="8"/>
      <c r="W1103" s="8" t="s">
        <v>306</v>
      </c>
      <c r="X1103" s="8" t="s">
        <v>29</v>
      </c>
      <c r="Y1103" s="8" t="s">
        <v>23</v>
      </c>
    </row>
    <row r="1104" spans="1:25" hidden="1" x14ac:dyDescent="0.25">
      <c r="A1104" s="283" t="s">
        <v>247</v>
      </c>
      <c r="B1104" s="260">
        <v>45806</v>
      </c>
      <c r="C1104" s="261" t="s">
        <v>542</v>
      </c>
      <c r="D1104" s="261"/>
      <c r="E1104" s="262">
        <v>500000</v>
      </c>
      <c r="F1104" s="262">
        <v>0</v>
      </c>
      <c r="G1104" s="285">
        <f>Tabla3[[#This Row],[INGRESOS]]-Tabla3[[#This Row],[EGRESOS]]</f>
        <v>-500000</v>
      </c>
      <c r="H1104" s="285">
        <v>-8898699.8699999992</v>
      </c>
      <c r="I1104" s="135">
        <v>1170</v>
      </c>
      <c r="J1104" s="136">
        <f>Tabla3[[#This Row],[EGRESOS]]/Tabla3[[#This Row],[TC]]</f>
        <v>427.35042735042737</v>
      </c>
      <c r="K1104" s="136">
        <f>Tabla3[[#This Row],[INGRESOS]]/Tabla3[[#This Row],[TC]]</f>
        <v>0</v>
      </c>
      <c r="L1104" s="8" t="s">
        <v>303</v>
      </c>
      <c r="M1104" s="8" t="s">
        <v>304</v>
      </c>
      <c r="N1104" s="8" t="s">
        <v>20</v>
      </c>
      <c r="O1104" s="8" t="s">
        <v>197</v>
      </c>
      <c r="P1104" s="8" t="s">
        <v>198</v>
      </c>
      <c r="Q1104" s="8" t="s">
        <v>201</v>
      </c>
      <c r="R1104" s="8" t="s">
        <v>827</v>
      </c>
      <c r="S1104" s="8" t="s">
        <v>815</v>
      </c>
      <c r="T1104" s="8"/>
      <c r="U1104" s="8" t="s">
        <v>258</v>
      </c>
      <c r="V1104" s="8"/>
      <c r="W1104" s="8" t="s">
        <v>306</v>
      </c>
      <c r="X1104" s="8" t="s">
        <v>29</v>
      </c>
      <c r="Y1104" s="8" t="s">
        <v>23</v>
      </c>
    </row>
    <row r="1105" spans="1:25" hidden="1" x14ac:dyDescent="0.25">
      <c r="A1105" s="283" t="s">
        <v>247</v>
      </c>
      <c r="B1105" s="260">
        <v>45806</v>
      </c>
      <c r="C1105" s="261" t="s">
        <v>571</v>
      </c>
      <c r="D1105" s="261"/>
      <c r="E1105" s="262">
        <v>121</v>
      </c>
      <c r="F1105" s="262">
        <v>0</v>
      </c>
      <c r="G1105" s="285">
        <f>Tabla3[[#This Row],[INGRESOS]]-Tabla3[[#This Row],[EGRESOS]]</f>
        <v>-121</v>
      </c>
      <c r="H1105" s="285">
        <v>-8898820.8699999992</v>
      </c>
      <c r="I1105" s="135">
        <v>1170</v>
      </c>
      <c r="J1105" s="136">
        <f>Tabla3[[#This Row],[EGRESOS]]/Tabla3[[#This Row],[TC]]</f>
        <v>0.10341880341880341</v>
      </c>
      <c r="K1105" s="136">
        <f>Tabla3[[#This Row],[INGRESOS]]/Tabla3[[#This Row],[TC]]</f>
        <v>0</v>
      </c>
      <c r="L1105" s="8" t="s">
        <v>303</v>
      </c>
      <c r="M1105" s="8" t="s">
        <v>304</v>
      </c>
      <c r="N1105" s="8" t="s">
        <v>20</v>
      </c>
      <c r="O1105" s="8" t="s">
        <v>184</v>
      </c>
      <c r="P1105" s="8" t="s">
        <v>185</v>
      </c>
      <c r="Q1105" s="8" t="s">
        <v>186</v>
      </c>
      <c r="R1105" s="8"/>
      <c r="S1105" s="8"/>
      <c r="T1105" s="8"/>
      <c r="U1105" s="8" t="s">
        <v>261</v>
      </c>
      <c r="V1105" s="8"/>
      <c r="W1105" s="8" t="s">
        <v>306</v>
      </c>
      <c r="X1105" s="8" t="s">
        <v>98</v>
      </c>
      <c r="Y1105" s="8" t="s">
        <v>23</v>
      </c>
    </row>
    <row r="1106" spans="1:25" hidden="1" x14ac:dyDescent="0.25">
      <c r="A1106" s="283" t="s">
        <v>247</v>
      </c>
      <c r="B1106" s="260">
        <v>45806</v>
      </c>
      <c r="C1106" s="261" t="s">
        <v>637</v>
      </c>
      <c r="D1106" s="261"/>
      <c r="E1106" s="262">
        <v>8277.73</v>
      </c>
      <c r="F1106" s="262">
        <v>0</v>
      </c>
      <c r="G1106" s="285">
        <f>Tabla3[[#This Row],[INGRESOS]]-Tabla3[[#This Row],[EGRESOS]]</f>
        <v>-8277.73</v>
      </c>
      <c r="H1106" s="285">
        <v>-8907098.5999999996</v>
      </c>
      <c r="I1106" s="135">
        <v>1170</v>
      </c>
      <c r="J1106" s="136">
        <f>Tabla3[[#This Row],[EGRESOS]]/Tabla3[[#This Row],[TC]]</f>
        <v>7.0749829059829059</v>
      </c>
      <c r="K1106" s="136">
        <f>Tabla3[[#This Row],[INGRESOS]]/Tabla3[[#This Row],[TC]]</f>
        <v>0</v>
      </c>
      <c r="L1106" s="8" t="s">
        <v>303</v>
      </c>
      <c r="M1106" s="8" t="s">
        <v>304</v>
      </c>
      <c r="N1106" s="8" t="s">
        <v>20</v>
      </c>
      <c r="O1106" s="8" t="s">
        <v>184</v>
      </c>
      <c r="P1106" s="8" t="s">
        <v>187</v>
      </c>
      <c r="Q1106" s="8" t="s">
        <v>188</v>
      </c>
      <c r="R1106" s="8" t="s">
        <v>317</v>
      </c>
      <c r="S1106" s="8"/>
      <c r="T1106" s="8"/>
      <c r="U1106" s="8" t="s">
        <v>261</v>
      </c>
      <c r="V1106" s="8"/>
      <c r="W1106" s="8" t="s">
        <v>306</v>
      </c>
      <c r="X1106" s="8" t="s">
        <v>98</v>
      </c>
      <c r="Y1106" s="8" t="s">
        <v>23</v>
      </c>
    </row>
    <row r="1107" spans="1:25" hidden="1" x14ac:dyDescent="0.25">
      <c r="A1107" s="283" t="s">
        <v>247</v>
      </c>
      <c r="B1107" s="260">
        <v>45806</v>
      </c>
      <c r="C1107" s="261" t="s">
        <v>537</v>
      </c>
      <c r="D1107" s="261"/>
      <c r="E1107" s="262">
        <v>57382.239999999998</v>
      </c>
      <c r="F1107" s="262">
        <v>0</v>
      </c>
      <c r="G1107" s="285">
        <f>Tabla3[[#This Row],[INGRESOS]]-Tabla3[[#This Row],[EGRESOS]]</f>
        <v>-57382.239999999998</v>
      </c>
      <c r="H1107" s="285">
        <v>-8964480.8399999999</v>
      </c>
      <c r="I1107" s="135">
        <v>1170</v>
      </c>
      <c r="J1107" s="136">
        <f>Tabla3[[#This Row],[EGRESOS]]/Tabla3[[#This Row],[TC]]</f>
        <v>49.044649572649568</v>
      </c>
      <c r="K1107" s="136">
        <f>Tabla3[[#This Row],[INGRESOS]]/Tabla3[[#This Row],[TC]]</f>
        <v>0</v>
      </c>
      <c r="L1107" s="8" t="s">
        <v>303</v>
      </c>
      <c r="M1107" s="8" t="s">
        <v>304</v>
      </c>
      <c r="N1107" s="8" t="s">
        <v>20</v>
      </c>
      <c r="O1107" s="8" t="s">
        <v>214</v>
      </c>
      <c r="P1107" s="8" t="s">
        <v>216</v>
      </c>
      <c r="Q1107" s="8" t="s">
        <v>217</v>
      </c>
      <c r="R1107" s="8" t="s">
        <v>546</v>
      </c>
      <c r="S1107" s="8"/>
      <c r="T1107" s="8"/>
      <c r="U1107" s="8" t="s">
        <v>262</v>
      </c>
      <c r="V1107" s="8"/>
      <c r="W1107" s="8" t="s">
        <v>306</v>
      </c>
      <c r="X1107" s="8"/>
      <c r="Y1107" s="8"/>
    </row>
    <row r="1108" spans="1:25" hidden="1" x14ac:dyDescent="0.25">
      <c r="A1108" s="283" t="s">
        <v>247</v>
      </c>
      <c r="B1108" s="260">
        <v>45807</v>
      </c>
      <c r="C1108" s="261" t="s">
        <v>323</v>
      </c>
      <c r="D1108" s="261"/>
      <c r="E1108" s="262">
        <v>500000</v>
      </c>
      <c r="F1108" s="262">
        <v>0</v>
      </c>
      <c r="G1108" s="285">
        <f>Tabla3[[#This Row],[INGRESOS]]-Tabla3[[#This Row],[EGRESOS]]</f>
        <v>-500000</v>
      </c>
      <c r="H1108" s="285">
        <v>-9464480.8399999999</v>
      </c>
      <c r="I1108" s="135">
        <v>1170</v>
      </c>
      <c r="J1108" s="136">
        <f>Tabla3[[#This Row],[EGRESOS]]/Tabla3[[#This Row],[TC]]</f>
        <v>427.35042735042737</v>
      </c>
      <c r="K1108" s="136">
        <f>Tabla3[[#This Row],[INGRESOS]]/Tabla3[[#This Row],[TC]]</f>
        <v>0</v>
      </c>
      <c r="L1108" s="8" t="s">
        <v>303</v>
      </c>
      <c r="M1108" s="8" t="s">
        <v>304</v>
      </c>
      <c r="N1108" s="8" t="s">
        <v>20</v>
      </c>
      <c r="O1108" s="8" t="s">
        <v>214</v>
      </c>
      <c r="P1108" s="8" t="s">
        <v>216</v>
      </c>
      <c r="Q1108" s="8" t="s">
        <v>217</v>
      </c>
      <c r="R1108" s="8" t="s">
        <v>686</v>
      </c>
      <c r="S1108" s="8"/>
      <c r="T1108" s="8"/>
      <c r="U1108" s="8" t="s">
        <v>262</v>
      </c>
      <c r="V1108" s="8"/>
      <c r="W1108" s="8"/>
      <c r="X1108" s="8"/>
      <c r="Y1108" s="8"/>
    </row>
    <row r="1109" spans="1:25" hidden="1" x14ac:dyDescent="0.25">
      <c r="A1109" s="283" t="s">
        <v>247</v>
      </c>
      <c r="B1109" s="260">
        <v>45807</v>
      </c>
      <c r="C1109" s="261" t="s">
        <v>571</v>
      </c>
      <c r="D1109" s="261"/>
      <c r="E1109" s="262">
        <v>121</v>
      </c>
      <c r="F1109" s="262">
        <v>0</v>
      </c>
      <c r="G1109" s="285">
        <f>Tabla3[[#This Row],[INGRESOS]]-Tabla3[[#This Row],[EGRESOS]]</f>
        <v>-121</v>
      </c>
      <c r="H1109" s="285">
        <v>-9464601.8399999999</v>
      </c>
      <c r="I1109" s="135">
        <v>1170</v>
      </c>
      <c r="J1109" s="136">
        <f>Tabla3[[#This Row],[EGRESOS]]/Tabla3[[#This Row],[TC]]</f>
        <v>0.10341880341880341</v>
      </c>
      <c r="K1109" s="136">
        <f>Tabla3[[#This Row],[INGRESOS]]/Tabla3[[#This Row],[TC]]</f>
        <v>0</v>
      </c>
      <c r="L1109" s="8" t="s">
        <v>303</v>
      </c>
      <c r="M1109" s="8" t="s">
        <v>304</v>
      </c>
      <c r="N1109" s="8" t="s">
        <v>20</v>
      </c>
      <c r="O1109" s="8" t="s">
        <v>184</v>
      </c>
      <c r="P1109" s="8" t="s">
        <v>185</v>
      </c>
      <c r="Q1109" s="8" t="s">
        <v>186</v>
      </c>
      <c r="R1109" s="8"/>
      <c r="S1109" s="8"/>
      <c r="T1109" s="8"/>
      <c r="U1109" s="8" t="s">
        <v>261</v>
      </c>
      <c r="V1109" s="8"/>
      <c r="W1109" s="8" t="s">
        <v>306</v>
      </c>
      <c r="X1109" s="8" t="s">
        <v>98</v>
      </c>
      <c r="Y1109" s="8" t="s">
        <v>23</v>
      </c>
    </row>
    <row r="1110" spans="1:25" hidden="1" x14ac:dyDescent="0.25">
      <c r="A1110" s="283" t="s">
        <v>247</v>
      </c>
      <c r="B1110" s="260">
        <v>45807</v>
      </c>
      <c r="C1110" s="261" t="s">
        <v>637</v>
      </c>
      <c r="D1110" s="261"/>
      <c r="E1110" s="262">
        <v>0.73</v>
      </c>
      <c r="F1110" s="262">
        <v>0</v>
      </c>
      <c r="G1110" s="285">
        <f>Tabla3[[#This Row],[INGRESOS]]-Tabla3[[#This Row],[EGRESOS]]</f>
        <v>-0.73</v>
      </c>
      <c r="H1110" s="285">
        <v>-9464602.5700000003</v>
      </c>
      <c r="I1110" s="135">
        <v>1170</v>
      </c>
      <c r="J1110" s="136">
        <f>Tabla3[[#This Row],[EGRESOS]]/Tabla3[[#This Row],[TC]]</f>
        <v>6.2393162393162391E-4</v>
      </c>
      <c r="K1110" s="136">
        <f>Tabla3[[#This Row],[INGRESOS]]/Tabla3[[#This Row],[TC]]</f>
        <v>0</v>
      </c>
      <c r="L1110" s="8" t="s">
        <v>303</v>
      </c>
      <c r="M1110" s="8" t="s">
        <v>304</v>
      </c>
      <c r="N1110" s="8" t="s">
        <v>20</v>
      </c>
      <c r="O1110" s="8" t="s">
        <v>184</v>
      </c>
      <c r="P1110" s="8" t="s">
        <v>187</v>
      </c>
      <c r="Q1110" s="8" t="s">
        <v>188</v>
      </c>
      <c r="R1110" s="8" t="s">
        <v>317</v>
      </c>
      <c r="S1110" s="8"/>
      <c r="T1110" s="8"/>
      <c r="U1110" s="8" t="s">
        <v>261</v>
      </c>
      <c r="V1110" s="8"/>
      <c r="W1110" s="8" t="s">
        <v>306</v>
      </c>
      <c r="X1110" s="8" t="s">
        <v>98</v>
      </c>
      <c r="Y1110" s="8" t="s">
        <v>23</v>
      </c>
    </row>
    <row r="1111" spans="1:25" hidden="1" x14ac:dyDescent="0.25">
      <c r="A1111" s="283" t="s">
        <v>725</v>
      </c>
      <c r="B1111" s="260">
        <v>45810</v>
      </c>
      <c r="C1111" s="261" t="s">
        <v>507</v>
      </c>
      <c r="D1111" s="261"/>
      <c r="E1111" s="262">
        <v>11471.36</v>
      </c>
      <c r="F1111" s="262">
        <v>0</v>
      </c>
      <c r="G1111" s="285">
        <f>Tabla3[[#This Row],[INGRESOS]]-Tabla3[[#This Row],[EGRESOS]]</f>
        <v>-11471.36</v>
      </c>
      <c r="H1111" s="285">
        <v>-9476073.9299999997</v>
      </c>
      <c r="I1111" s="135">
        <v>1170</v>
      </c>
      <c r="J1111" s="136">
        <f>Tabla3[[#This Row],[EGRESOS]]/Tabla3[[#This Row],[TC]]</f>
        <v>9.8045811965811964</v>
      </c>
      <c r="K1111" s="136">
        <f>Tabla3[[#This Row],[INGRESOS]]/Tabla3[[#This Row],[TC]]</f>
        <v>0</v>
      </c>
      <c r="L1111" s="8" t="s">
        <v>303</v>
      </c>
      <c r="M1111" s="8" t="s">
        <v>304</v>
      </c>
      <c r="N1111" s="8" t="s">
        <v>20</v>
      </c>
      <c r="O1111" s="8" t="s">
        <v>184</v>
      </c>
      <c r="P1111" s="8" t="s">
        <v>187</v>
      </c>
      <c r="Q1111" s="8" t="s">
        <v>188</v>
      </c>
      <c r="R1111" s="8" t="s">
        <v>308</v>
      </c>
      <c r="S1111" s="8"/>
      <c r="T1111" s="8"/>
      <c r="U1111" s="8" t="s">
        <v>261</v>
      </c>
      <c r="V1111" s="8"/>
      <c r="W1111" s="8" t="s">
        <v>306</v>
      </c>
      <c r="X1111" s="8" t="s">
        <v>98</v>
      </c>
      <c r="Y1111" s="8" t="s">
        <v>23</v>
      </c>
    </row>
    <row r="1112" spans="1:25" hidden="1" x14ac:dyDescent="0.25">
      <c r="A1112" s="283" t="s">
        <v>725</v>
      </c>
      <c r="B1112" s="260">
        <v>45810</v>
      </c>
      <c r="C1112" s="261" t="s">
        <v>508</v>
      </c>
      <c r="D1112" s="261"/>
      <c r="E1112" s="262">
        <v>1638.77</v>
      </c>
      <c r="F1112" s="262">
        <v>0</v>
      </c>
      <c r="G1112" s="285">
        <f>Tabla3[[#This Row],[INGRESOS]]-Tabla3[[#This Row],[EGRESOS]]</f>
        <v>-1638.77</v>
      </c>
      <c r="H1112" s="285">
        <v>-9477712.6999999993</v>
      </c>
      <c r="I1112" s="135">
        <v>1170</v>
      </c>
      <c r="J1112" s="136">
        <f>Tabla3[[#This Row],[EGRESOS]]/Tabla3[[#This Row],[TC]]</f>
        <v>1.4006581196581196</v>
      </c>
      <c r="K1112" s="136">
        <f>Tabla3[[#This Row],[INGRESOS]]/Tabla3[[#This Row],[TC]]</f>
        <v>0</v>
      </c>
      <c r="L1112" s="8" t="s">
        <v>303</v>
      </c>
      <c r="M1112" s="8" t="s">
        <v>304</v>
      </c>
      <c r="N1112" s="8" t="s">
        <v>20</v>
      </c>
      <c r="O1112" s="8" t="s">
        <v>184</v>
      </c>
      <c r="P1112" s="8" t="s">
        <v>187</v>
      </c>
      <c r="Q1112" s="8" t="s">
        <v>188</v>
      </c>
      <c r="R1112" s="8" t="s">
        <v>334</v>
      </c>
      <c r="S1112" s="8"/>
      <c r="T1112" s="8"/>
      <c r="U1112" s="8" t="s">
        <v>261</v>
      </c>
      <c r="V1112" s="8"/>
      <c r="W1112" s="8" t="s">
        <v>306</v>
      </c>
      <c r="X1112" s="8" t="s">
        <v>98</v>
      </c>
      <c r="Y1112" s="8" t="s">
        <v>23</v>
      </c>
    </row>
    <row r="1113" spans="1:25" hidden="1" x14ac:dyDescent="0.25">
      <c r="A1113" s="283" t="s">
        <v>725</v>
      </c>
      <c r="B1113" s="260">
        <v>45810</v>
      </c>
      <c r="C1113" s="261" t="s">
        <v>518</v>
      </c>
      <c r="D1113" s="261"/>
      <c r="E1113" s="262">
        <v>109251.09</v>
      </c>
      <c r="F1113" s="262">
        <v>0</v>
      </c>
      <c r="G1113" s="285">
        <f>Tabla3[[#This Row],[INGRESOS]]-Tabla3[[#This Row],[EGRESOS]]</f>
        <v>-109251.09</v>
      </c>
      <c r="H1113" s="285">
        <v>-9586963.7899999991</v>
      </c>
      <c r="I1113" s="135">
        <v>1170</v>
      </c>
      <c r="J1113" s="136">
        <f>Tabla3[[#This Row],[EGRESOS]]/Tabla3[[#This Row],[TC]]</f>
        <v>93.376999999999995</v>
      </c>
      <c r="K1113" s="136">
        <f>Tabla3[[#This Row],[INGRESOS]]/Tabla3[[#This Row],[TC]]</f>
        <v>0</v>
      </c>
      <c r="L1113" s="8" t="s">
        <v>303</v>
      </c>
      <c r="M1113" s="8" t="s">
        <v>304</v>
      </c>
      <c r="N1113" s="8" t="s">
        <v>20</v>
      </c>
      <c r="O1113" s="8" t="s">
        <v>184</v>
      </c>
      <c r="P1113" s="8" t="s">
        <v>189</v>
      </c>
      <c r="Q1113" s="8" t="s">
        <v>190</v>
      </c>
      <c r="R1113" s="8"/>
      <c r="S1113" s="8"/>
      <c r="T1113" s="8"/>
      <c r="U1113" s="8" t="s">
        <v>261</v>
      </c>
      <c r="V1113" s="8"/>
      <c r="W1113" s="8" t="s">
        <v>306</v>
      </c>
      <c r="X1113" s="8" t="s">
        <v>98</v>
      </c>
      <c r="Y1113" s="8" t="s">
        <v>23</v>
      </c>
    </row>
    <row r="1114" spans="1:25" hidden="1" x14ac:dyDescent="0.25">
      <c r="A1114" s="283" t="s">
        <v>725</v>
      </c>
      <c r="B1114" s="260">
        <v>45810</v>
      </c>
      <c r="C1114" s="261" t="s">
        <v>507</v>
      </c>
      <c r="D1114" s="261"/>
      <c r="E1114" s="262">
        <v>27553.06</v>
      </c>
      <c r="F1114" s="262">
        <v>0</v>
      </c>
      <c r="G1114" s="285">
        <f>Tabla3[[#This Row],[INGRESOS]]-Tabla3[[#This Row],[EGRESOS]]</f>
        <v>-27553.06</v>
      </c>
      <c r="H1114" s="285">
        <v>-9614516.8499999996</v>
      </c>
      <c r="I1114" s="135">
        <v>1170</v>
      </c>
      <c r="J1114" s="136">
        <f>Tabla3[[#This Row],[EGRESOS]]/Tabla3[[#This Row],[TC]]</f>
        <v>23.549623931623934</v>
      </c>
      <c r="K1114" s="136">
        <f>Tabla3[[#This Row],[INGRESOS]]/Tabla3[[#This Row],[TC]]</f>
        <v>0</v>
      </c>
      <c r="L1114" s="8" t="s">
        <v>303</v>
      </c>
      <c r="M1114" s="8" t="s">
        <v>304</v>
      </c>
      <c r="N1114" s="8" t="s">
        <v>20</v>
      </c>
      <c r="O1114" s="8" t="s">
        <v>184</v>
      </c>
      <c r="P1114" s="8" t="s">
        <v>187</v>
      </c>
      <c r="Q1114" s="8" t="s">
        <v>188</v>
      </c>
      <c r="R1114" s="8" t="s">
        <v>308</v>
      </c>
      <c r="S1114" s="8"/>
      <c r="T1114" s="8"/>
      <c r="U1114" s="8" t="s">
        <v>261</v>
      </c>
      <c r="V1114" s="8"/>
      <c r="W1114" s="8" t="s">
        <v>306</v>
      </c>
      <c r="X1114" s="8" t="s">
        <v>98</v>
      </c>
      <c r="Y1114" s="8" t="s">
        <v>23</v>
      </c>
    </row>
    <row r="1115" spans="1:25" hidden="1" x14ac:dyDescent="0.25">
      <c r="A1115" s="283" t="s">
        <v>725</v>
      </c>
      <c r="B1115" s="260">
        <v>45810</v>
      </c>
      <c r="C1115" s="261" t="s">
        <v>508</v>
      </c>
      <c r="D1115" s="261"/>
      <c r="E1115" s="262">
        <v>3936.15</v>
      </c>
      <c r="F1115" s="262">
        <v>0</v>
      </c>
      <c r="G1115" s="285">
        <f>Tabla3[[#This Row],[INGRESOS]]-Tabla3[[#This Row],[EGRESOS]]</f>
        <v>-3936.15</v>
      </c>
      <c r="H1115" s="285">
        <v>-9618453</v>
      </c>
      <c r="I1115" s="135">
        <v>1170</v>
      </c>
      <c r="J1115" s="136">
        <f>Tabla3[[#This Row],[EGRESOS]]/Tabla3[[#This Row],[TC]]</f>
        <v>3.3642307692307694</v>
      </c>
      <c r="K1115" s="136">
        <f>Tabla3[[#This Row],[INGRESOS]]/Tabla3[[#This Row],[TC]]</f>
        <v>0</v>
      </c>
      <c r="L1115" s="8" t="s">
        <v>303</v>
      </c>
      <c r="M1115" s="8" t="s">
        <v>304</v>
      </c>
      <c r="N1115" s="8" t="s">
        <v>20</v>
      </c>
      <c r="O1115" s="8" t="s">
        <v>184</v>
      </c>
      <c r="P1115" s="8" t="s">
        <v>187</v>
      </c>
      <c r="Q1115" s="8" t="s">
        <v>188</v>
      </c>
      <c r="R1115" s="8" t="s">
        <v>334</v>
      </c>
      <c r="S1115" s="8"/>
      <c r="T1115" s="8"/>
      <c r="U1115" s="8" t="s">
        <v>261</v>
      </c>
      <c r="V1115" s="8"/>
      <c r="W1115" s="8" t="s">
        <v>306</v>
      </c>
      <c r="X1115" s="8" t="s">
        <v>98</v>
      </c>
      <c r="Y1115" s="8" t="s">
        <v>23</v>
      </c>
    </row>
    <row r="1116" spans="1:25" hidden="1" x14ac:dyDescent="0.25">
      <c r="A1116" s="283" t="s">
        <v>725</v>
      </c>
      <c r="B1116" s="260">
        <v>45810</v>
      </c>
      <c r="C1116" s="261" t="s">
        <v>518</v>
      </c>
      <c r="D1116" s="261"/>
      <c r="E1116" s="262">
        <v>262410.11</v>
      </c>
      <c r="F1116" s="262">
        <v>0</v>
      </c>
      <c r="G1116" s="285">
        <f>Tabla3[[#This Row],[INGRESOS]]-Tabla3[[#This Row],[EGRESOS]]</f>
        <v>-262410.11</v>
      </c>
      <c r="H1116" s="285">
        <v>-9880863.1099999994</v>
      </c>
      <c r="I1116" s="135">
        <v>1170</v>
      </c>
      <c r="J1116" s="136">
        <f>Tabla3[[#This Row],[EGRESOS]]/Tabla3[[#This Row],[TC]]</f>
        <v>224.2821452991453</v>
      </c>
      <c r="K1116" s="136">
        <f>Tabla3[[#This Row],[INGRESOS]]/Tabla3[[#This Row],[TC]]</f>
        <v>0</v>
      </c>
      <c r="L1116" s="8" t="s">
        <v>303</v>
      </c>
      <c r="M1116" s="8" t="s">
        <v>304</v>
      </c>
      <c r="N1116" s="8" t="s">
        <v>20</v>
      </c>
      <c r="O1116" s="8" t="s">
        <v>184</v>
      </c>
      <c r="P1116" s="8" t="s">
        <v>189</v>
      </c>
      <c r="Q1116" s="8" t="s">
        <v>190</v>
      </c>
      <c r="R1116" s="8"/>
      <c r="S1116" s="8"/>
      <c r="T1116" s="8"/>
      <c r="U1116" s="8" t="s">
        <v>261</v>
      </c>
      <c r="V1116" s="8"/>
      <c r="W1116" s="8" t="s">
        <v>306</v>
      </c>
      <c r="X1116" s="8" t="s">
        <v>98</v>
      </c>
      <c r="Y1116" s="8" t="s">
        <v>23</v>
      </c>
    </row>
    <row r="1117" spans="1:25" hidden="1" x14ac:dyDescent="0.25">
      <c r="A1117" s="283" t="s">
        <v>725</v>
      </c>
      <c r="B1117" s="260">
        <v>45810</v>
      </c>
      <c r="C1117" s="261" t="s">
        <v>507</v>
      </c>
      <c r="D1117" s="261"/>
      <c r="E1117" s="262">
        <v>2796.91</v>
      </c>
      <c r="F1117" s="262">
        <v>0</v>
      </c>
      <c r="G1117" s="285">
        <f>Tabla3[[#This Row],[INGRESOS]]-Tabla3[[#This Row],[EGRESOS]]</f>
        <v>-2796.91</v>
      </c>
      <c r="H1117" s="285">
        <v>-9883660.0199999996</v>
      </c>
      <c r="I1117" s="135">
        <v>1170</v>
      </c>
      <c r="J1117" s="136">
        <f>Tabla3[[#This Row],[EGRESOS]]/Tabla3[[#This Row],[TC]]</f>
        <v>2.3905213675213672</v>
      </c>
      <c r="K1117" s="136">
        <f>Tabla3[[#This Row],[INGRESOS]]/Tabla3[[#This Row],[TC]]</f>
        <v>0</v>
      </c>
      <c r="L1117" s="8" t="s">
        <v>303</v>
      </c>
      <c r="M1117" s="8" t="s">
        <v>304</v>
      </c>
      <c r="N1117" s="8" t="s">
        <v>20</v>
      </c>
      <c r="O1117" s="8" t="s">
        <v>184</v>
      </c>
      <c r="P1117" s="8" t="s">
        <v>187</v>
      </c>
      <c r="Q1117" s="8" t="s">
        <v>188</v>
      </c>
      <c r="R1117" s="8" t="s">
        <v>308</v>
      </c>
      <c r="S1117" s="8"/>
      <c r="T1117" s="8"/>
      <c r="U1117" s="8" t="s">
        <v>261</v>
      </c>
      <c r="V1117" s="8"/>
      <c r="W1117" s="8" t="s">
        <v>306</v>
      </c>
      <c r="X1117" s="8" t="s">
        <v>98</v>
      </c>
      <c r="Y1117" s="8" t="s">
        <v>23</v>
      </c>
    </row>
    <row r="1118" spans="1:25" hidden="1" x14ac:dyDescent="0.25">
      <c r="A1118" s="283" t="s">
        <v>725</v>
      </c>
      <c r="B1118" s="260">
        <v>45810</v>
      </c>
      <c r="C1118" s="261" t="s">
        <v>508</v>
      </c>
      <c r="D1118" s="261"/>
      <c r="E1118" s="262">
        <v>399.56</v>
      </c>
      <c r="F1118" s="262">
        <v>0</v>
      </c>
      <c r="G1118" s="285">
        <f>Tabla3[[#This Row],[INGRESOS]]-Tabla3[[#This Row],[EGRESOS]]</f>
        <v>-399.56</v>
      </c>
      <c r="H1118" s="285">
        <v>-9884059.5800000001</v>
      </c>
      <c r="I1118" s="135">
        <v>1170</v>
      </c>
      <c r="J1118" s="136">
        <f>Tabla3[[#This Row],[EGRESOS]]/Tabla3[[#This Row],[TC]]</f>
        <v>0.34150427350427348</v>
      </c>
      <c r="K1118" s="136">
        <f>Tabla3[[#This Row],[INGRESOS]]/Tabla3[[#This Row],[TC]]</f>
        <v>0</v>
      </c>
      <c r="L1118" s="8" t="s">
        <v>303</v>
      </c>
      <c r="M1118" s="8" t="s">
        <v>304</v>
      </c>
      <c r="N1118" s="8" t="s">
        <v>20</v>
      </c>
      <c r="O1118" s="8" t="s">
        <v>184</v>
      </c>
      <c r="P1118" s="8" t="s">
        <v>187</v>
      </c>
      <c r="Q1118" s="8" t="s">
        <v>188</v>
      </c>
      <c r="R1118" s="8" t="s">
        <v>334</v>
      </c>
      <c r="S1118" s="8"/>
      <c r="T1118" s="8"/>
      <c r="U1118" s="8" t="s">
        <v>261</v>
      </c>
      <c r="V1118" s="8"/>
      <c r="W1118" s="8" t="s">
        <v>306</v>
      </c>
      <c r="X1118" s="8" t="s">
        <v>98</v>
      </c>
      <c r="Y1118" s="8" t="s">
        <v>23</v>
      </c>
    </row>
    <row r="1119" spans="1:25" hidden="1" x14ac:dyDescent="0.25">
      <c r="A1119" s="283" t="s">
        <v>725</v>
      </c>
      <c r="B1119" s="260">
        <v>45810</v>
      </c>
      <c r="C1119" s="261" t="s">
        <v>520</v>
      </c>
      <c r="D1119" s="261"/>
      <c r="E1119" s="262">
        <v>26637.27</v>
      </c>
      <c r="F1119" s="262">
        <v>0</v>
      </c>
      <c r="G1119" s="285">
        <f>Tabla3[[#This Row],[INGRESOS]]-Tabla3[[#This Row],[EGRESOS]]</f>
        <v>-26637.27</v>
      </c>
      <c r="H1119" s="285">
        <v>-9910696.8499999996</v>
      </c>
      <c r="I1119" s="135">
        <v>1170</v>
      </c>
      <c r="J1119" s="136">
        <f>Tabla3[[#This Row],[EGRESOS]]/Tabla3[[#This Row],[TC]]</f>
        <v>22.766897435897437</v>
      </c>
      <c r="K1119" s="136">
        <f>Tabla3[[#This Row],[INGRESOS]]/Tabla3[[#This Row],[TC]]</f>
        <v>0</v>
      </c>
      <c r="L1119" s="8" t="s">
        <v>303</v>
      </c>
      <c r="M1119" s="8" t="s">
        <v>304</v>
      </c>
      <c r="N1119" s="8" t="s">
        <v>20</v>
      </c>
      <c r="O1119" s="8" t="s">
        <v>184</v>
      </c>
      <c r="P1119" s="8" t="s">
        <v>189</v>
      </c>
      <c r="Q1119" s="8" t="s">
        <v>190</v>
      </c>
      <c r="R1119" s="8"/>
      <c r="S1119" s="8"/>
      <c r="T1119" s="8"/>
      <c r="U1119" s="8" t="s">
        <v>261</v>
      </c>
      <c r="V1119" s="8"/>
      <c r="W1119" s="8" t="s">
        <v>306</v>
      </c>
      <c r="X1119" s="8" t="s">
        <v>98</v>
      </c>
      <c r="Y1119" s="8" t="s">
        <v>23</v>
      </c>
    </row>
    <row r="1120" spans="1:25" hidden="1" x14ac:dyDescent="0.25">
      <c r="A1120" s="283" t="s">
        <v>725</v>
      </c>
      <c r="B1120" s="260">
        <v>45810</v>
      </c>
      <c r="C1120" s="261" t="s">
        <v>590</v>
      </c>
      <c r="D1120" s="261"/>
      <c r="E1120" s="262">
        <v>3000.27</v>
      </c>
      <c r="F1120" s="262">
        <v>0</v>
      </c>
      <c r="G1120" s="285">
        <f>Tabla3[[#This Row],[INGRESOS]]-Tabla3[[#This Row],[EGRESOS]]</f>
        <v>-3000.27</v>
      </c>
      <c r="H1120" s="285">
        <v>-9913697.1199999992</v>
      </c>
      <c r="I1120" s="135">
        <v>1170</v>
      </c>
      <c r="J1120" s="136">
        <f>Tabla3[[#This Row],[EGRESOS]]/Tabla3[[#This Row],[TC]]</f>
        <v>2.5643333333333334</v>
      </c>
      <c r="K1120" s="136">
        <f>Tabla3[[#This Row],[INGRESOS]]/Tabla3[[#This Row],[TC]]</f>
        <v>0</v>
      </c>
      <c r="L1120" s="8" t="s">
        <v>303</v>
      </c>
      <c r="M1120" s="8" t="s">
        <v>304</v>
      </c>
      <c r="N1120" s="8" t="s">
        <v>20</v>
      </c>
      <c r="O1120" s="8" t="s">
        <v>184</v>
      </c>
      <c r="P1120" s="8" t="s">
        <v>187</v>
      </c>
      <c r="Q1120" s="8" t="s">
        <v>188</v>
      </c>
      <c r="R1120" s="8" t="s">
        <v>339</v>
      </c>
      <c r="S1120" s="8"/>
      <c r="T1120" s="8"/>
      <c r="U1120" s="8" t="s">
        <v>261</v>
      </c>
      <c r="V1120" s="8"/>
      <c r="W1120" s="8" t="s">
        <v>306</v>
      </c>
      <c r="X1120" s="8" t="s">
        <v>98</v>
      </c>
      <c r="Y1120" s="8" t="s">
        <v>23</v>
      </c>
    </row>
    <row r="1121" spans="1:25" hidden="1" x14ac:dyDescent="0.25">
      <c r="A1121" s="283" t="s">
        <v>725</v>
      </c>
      <c r="B1121" s="260">
        <v>45810</v>
      </c>
      <c r="C1121" s="261" t="s">
        <v>590</v>
      </c>
      <c r="D1121" s="261"/>
      <c r="E1121" s="262">
        <v>6840.51</v>
      </c>
      <c r="F1121" s="262">
        <v>0</v>
      </c>
      <c r="G1121" s="285">
        <f>Tabla3[[#This Row],[INGRESOS]]-Tabla3[[#This Row],[EGRESOS]]</f>
        <v>-6840.51</v>
      </c>
      <c r="H1121" s="285">
        <v>-9920537.6300000008</v>
      </c>
      <c r="I1121" s="135">
        <v>1170</v>
      </c>
      <c r="J1121" s="136">
        <f>Tabla3[[#This Row],[EGRESOS]]/Tabla3[[#This Row],[TC]]</f>
        <v>5.8465897435897434</v>
      </c>
      <c r="K1121" s="136">
        <f>Tabla3[[#This Row],[INGRESOS]]/Tabla3[[#This Row],[TC]]</f>
        <v>0</v>
      </c>
      <c r="L1121" s="8" t="s">
        <v>303</v>
      </c>
      <c r="M1121" s="8" t="s">
        <v>304</v>
      </c>
      <c r="N1121" s="8" t="s">
        <v>20</v>
      </c>
      <c r="O1121" s="8" t="s">
        <v>184</v>
      </c>
      <c r="P1121" s="8" t="s">
        <v>187</v>
      </c>
      <c r="Q1121" s="8" t="s">
        <v>188</v>
      </c>
      <c r="R1121" s="8" t="s">
        <v>339</v>
      </c>
      <c r="S1121" s="8"/>
      <c r="T1121" s="8"/>
      <c r="U1121" s="8" t="s">
        <v>261</v>
      </c>
      <c r="V1121" s="8"/>
      <c r="W1121" s="8" t="s">
        <v>306</v>
      </c>
      <c r="X1121" s="8" t="s">
        <v>98</v>
      </c>
      <c r="Y1121" s="8" t="s">
        <v>23</v>
      </c>
    </row>
    <row r="1122" spans="1:25" hidden="1" x14ac:dyDescent="0.25">
      <c r="A1122" s="283" t="s">
        <v>725</v>
      </c>
      <c r="B1122" s="260">
        <v>45810</v>
      </c>
      <c r="C1122" s="261" t="s">
        <v>590</v>
      </c>
      <c r="D1122" s="261"/>
      <c r="E1122" s="262">
        <v>551.64</v>
      </c>
      <c r="F1122" s="262">
        <v>0</v>
      </c>
      <c r="G1122" s="285">
        <f>Tabla3[[#This Row],[INGRESOS]]-Tabla3[[#This Row],[EGRESOS]]</f>
        <v>-551.64</v>
      </c>
      <c r="H1122" s="285">
        <v>-9921089.2699999996</v>
      </c>
      <c r="I1122" s="135">
        <v>1170</v>
      </c>
      <c r="J1122" s="136">
        <f>Tabla3[[#This Row],[EGRESOS]]/Tabla3[[#This Row],[TC]]</f>
        <v>0.4714871794871795</v>
      </c>
      <c r="K1122" s="136">
        <f>Tabla3[[#This Row],[INGRESOS]]/Tabla3[[#This Row],[TC]]</f>
        <v>0</v>
      </c>
      <c r="L1122" s="8" t="s">
        <v>303</v>
      </c>
      <c r="M1122" s="8" t="s">
        <v>304</v>
      </c>
      <c r="N1122" s="8" t="s">
        <v>20</v>
      </c>
      <c r="O1122" s="8" t="s">
        <v>184</v>
      </c>
      <c r="P1122" s="8" t="s">
        <v>187</v>
      </c>
      <c r="Q1122" s="8" t="s">
        <v>188</v>
      </c>
      <c r="R1122" s="8" t="s">
        <v>339</v>
      </c>
      <c r="S1122" s="8"/>
      <c r="T1122" s="8"/>
      <c r="U1122" s="8" t="s">
        <v>261</v>
      </c>
      <c r="V1122" s="8"/>
      <c r="W1122" s="8" t="s">
        <v>306</v>
      </c>
      <c r="X1122" s="8" t="s">
        <v>98</v>
      </c>
      <c r="Y1122" s="8" t="s">
        <v>23</v>
      </c>
    </row>
    <row r="1123" spans="1:25" hidden="1" x14ac:dyDescent="0.25">
      <c r="A1123" s="283" t="s">
        <v>725</v>
      </c>
      <c r="B1123" s="260">
        <v>45810</v>
      </c>
      <c r="C1123" s="261" t="s">
        <v>637</v>
      </c>
      <c r="D1123" s="261"/>
      <c r="E1123" s="262">
        <v>2738.92</v>
      </c>
      <c r="F1123" s="262">
        <v>0</v>
      </c>
      <c r="G1123" s="285">
        <f>Tabla3[[#This Row],[INGRESOS]]-Tabla3[[#This Row],[EGRESOS]]</f>
        <v>-2738.92</v>
      </c>
      <c r="H1123" s="285">
        <v>-9923828.1899999995</v>
      </c>
      <c r="I1123" s="135">
        <v>1170</v>
      </c>
      <c r="J1123" s="136">
        <f>Tabla3[[#This Row],[EGRESOS]]/Tabla3[[#This Row],[TC]]</f>
        <v>2.340957264957265</v>
      </c>
      <c r="K1123" s="136">
        <f>Tabla3[[#This Row],[INGRESOS]]/Tabla3[[#This Row],[TC]]</f>
        <v>0</v>
      </c>
      <c r="L1123" s="8" t="s">
        <v>303</v>
      </c>
      <c r="M1123" s="8" t="s">
        <v>304</v>
      </c>
      <c r="N1123" s="8" t="s">
        <v>20</v>
      </c>
      <c r="O1123" s="8" t="s">
        <v>184</v>
      </c>
      <c r="P1123" s="8" t="s">
        <v>187</v>
      </c>
      <c r="Q1123" s="8" t="s">
        <v>188</v>
      </c>
      <c r="R1123" s="8" t="s">
        <v>317</v>
      </c>
      <c r="S1123" s="8"/>
      <c r="T1123" s="8"/>
      <c r="U1123" s="8" t="s">
        <v>261</v>
      </c>
      <c r="V1123" s="8"/>
      <c r="W1123" s="8" t="s">
        <v>306</v>
      </c>
      <c r="X1123" s="8" t="s">
        <v>98</v>
      </c>
      <c r="Y1123" s="8" t="s">
        <v>23</v>
      </c>
    </row>
    <row r="1124" spans="1:25" hidden="1" x14ac:dyDescent="0.25">
      <c r="A1124" s="283" t="s">
        <v>725</v>
      </c>
      <c r="B1124" s="260">
        <v>45811</v>
      </c>
      <c r="C1124" s="261" t="s">
        <v>323</v>
      </c>
      <c r="D1124" s="261"/>
      <c r="E1124" s="262">
        <v>850000</v>
      </c>
      <c r="F1124" s="262">
        <v>0</v>
      </c>
      <c r="G1124" s="285">
        <f>Tabla3[[#This Row],[INGRESOS]]-Tabla3[[#This Row],[EGRESOS]]</f>
        <v>-850000</v>
      </c>
      <c r="H1124" s="285">
        <v>-10773828.189999999</v>
      </c>
      <c r="I1124" s="135">
        <v>1170</v>
      </c>
      <c r="J1124" s="136">
        <f>Tabla3[[#This Row],[EGRESOS]]/Tabla3[[#This Row],[TC]]</f>
        <v>726.49572649572644</v>
      </c>
      <c r="K1124" s="136">
        <f>Tabla3[[#This Row],[INGRESOS]]/Tabla3[[#This Row],[TC]]</f>
        <v>0</v>
      </c>
      <c r="L1124" s="8" t="s">
        <v>303</v>
      </c>
      <c r="M1124" s="8" t="s">
        <v>304</v>
      </c>
      <c r="N1124" s="8" t="s">
        <v>20</v>
      </c>
      <c r="O1124" s="8" t="s">
        <v>214</v>
      </c>
      <c r="P1124" s="8" t="s">
        <v>216</v>
      </c>
      <c r="Q1124" s="8" t="s">
        <v>217</v>
      </c>
      <c r="R1124" s="8" t="s">
        <v>686</v>
      </c>
      <c r="S1124" s="8"/>
      <c r="T1124" s="8"/>
      <c r="U1124" s="8" t="s">
        <v>262</v>
      </c>
      <c r="V1124" s="8"/>
      <c r="W1124" s="8"/>
      <c r="X1124" s="8"/>
      <c r="Y1124" s="8"/>
    </row>
    <row r="1125" spans="1:25" hidden="1" x14ac:dyDescent="0.25">
      <c r="A1125" s="283" t="s">
        <v>725</v>
      </c>
      <c r="B1125" s="260">
        <v>45811</v>
      </c>
      <c r="C1125" s="261" t="s">
        <v>571</v>
      </c>
      <c r="D1125" s="261"/>
      <c r="E1125" s="262">
        <v>121</v>
      </c>
      <c r="F1125" s="262">
        <v>0</v>
      </c>
      <c r="G1125" s="285">
        <f>Tabla3[[#This Row],[INGRESOS]]-Tabla3[[#This Row],[EGRESOS]]</f>
        <v>-121</v>
      </c>
      <c r="H1125" s="285">
        <v>-10773949.189999999</v>
      </c>
      <c r="I1125" s="135">
        <v>1170</v>
      </c>
      <c r="J1125" s="136">
        <f>Tabla3[[#This Row],[EGRESOS]]/Tabla3[[#This Row],[TC]]</f>
        <v>0.10341880341880341</v>
      </c>
      <c r="K1125" s="136">
        <f>Tabla3[[#This Row],[INGRESOS]]/Tabla3[[#This Row],[TC]]</f>
        <v>0</v>
      </c>
      <c r="L1125" s="8" t="s">
        <v>303</v>
      </c>
      <c r="M1125" s="8" t="s">
        <v>304</v>
      </c>
      <c r="N1125" s="8" t="s">
        <v>20</v>
      </c>
      <c r="O1125" s="8" t="s">
        <v>184</v>
      </c>
      <c r="P1125" s="8" t="s">
        <v>185</v>
      </c>
      <c r="Q1125" s="8" t="s">
        <v>186</v>
      </c>
      <c r="R1125" s="8"/>
      <c r="S1125" s="8"/>
      <c r="T1125" s="8"/>
      <c r="U1125" s="8" t="s">
        <v>261</v>
      </c>
      <c r="V1125" s="8"/>
      <c r="W1125" s="8" t="s">
        <v>306</v>
      </c>
      <c r="X1125" s="8" t="s">
        <v>98</v>
      </c>
      <c r="Y1125" s="8" t="s">
        <v>23</v>
      </c>
    </row>
    <row r="1126" spans="1:25" hidden="1" x14ac:dyDescent="0.25">
      <c r="A1126" s="283" t="s">
        <v>725</v>
      </c>
      <c r="B1126" s="260">
        <v>45811</v>
      </c>
      <c r="C1126" s="261" t="s">
        <v>637</v>
      </c>
      <c r="D1126" s="261"/>
      <c r="E1126" s="262">
        <v>0.73</v>
      </c>
      <c r="F1126" s="262">
        <v>0</v>
      </c>
      <c r="G1126" s="285">
        <f>Tabla3[[#This Row],[INGRESOS]]-Tabla3[[#This Row],[EGRESOS]]</f>
        <v>-0.73</v>
      </c>
      <c r="H1126" s="285">
        <v>-10773949.92</v>
      </c>
      <c r="I1126" s="135">
        <v>1170</v>
      </c>
      <c r="J1126" s="136">
        <f>Tabla3[[#This Row],[EGRESOS]]/Tabla3[[#This Row],[TC]]</f>
        <v>6.2393162393162391E-4</v>
      </c>
      <c r="K1126" s="136">
        <f>Tabla3[[#This Row],[INGRESOS]]/Tabla3[[#This Row],[TC]]</f>
        <v>0</v>
      </c>
      <c r="L1126" s="8" t="s">
        <v>303</v>
      </c>
      <c r="M1126" s="8" t="s">
        <v>304</v>
      </c>
      <c r="N1126" s="8" t="s">
        <v>20</v>
      </c>
      <c r="O1126" s="8" t="s">
        <v>184</v>
      </c>
      <c r="P1126" s="8" t="s">
        <v>187</v>
      </c>
      <c r="Q1126" s="8" t="s">
        <v>188</v>
      </c>
      <c r="R1126" s="8" t="s">
        <v>317</v>
      </c>
      <c r="S1126" s="8"/>
      <c r="T1126" s="8"/>
      <c r="U1126" s="8" t="s">
        <v>261</v>
      </c>
      <c r="V1126" s="8"/>
      <c r="W1126" s="8" t="s">
        <v>306</v>
      </c>
      <c r="X1126" s="8" t="s">
        <v>98</v>
      </c>
      <c r="Y1126" s="8" t="s">
        <v>23</v>
      </c>
    </row>
    <row r="1127" spans="1:25" hidden="1" x14ac:dyDescent="0.25">
      <c r="A1127" s="283" t="s">
        <v>725</v>
      </c>
      <c r="B1127" s="260">
        <v>45812</v>
      </c>
      <c r="C1127" s="261" t="s">
        <v>323</v>
      </c>
      <c r="D1127" s="261"/>
      <c r="E1127" s="262">
        <v>150000</v>
      </c>
      <c r="F1127" s="262">
        <v>0</v>
      </c>
      <c r="G1127" s="285">
        <f>Tabla3[[#This Row],[INGRESOS]]-Tabla3[[#This Row],[EGRESOS]]</f>
        <v>-150000</v>
      </c>
      <c r="H1127" s="285">
        <v>-10923949.92</v>
      </c>
      <c r="I1127" s="135">
        <v>1170</v>
      </c>
      <c r="J1127" s="136">
        <f>Tabla3[[#This Row],[EGRESOS]]/Tabla3[[#This Row],[TC]]</f>
        <v>128.2051282051282</v>
      </c>
      <c r="K1127" s="136">
        <f>Tabla3[[#This Row],[INGRESOS]]/Tabla3[[#This Row],[TC]]</f>
        <v>0</v>
      </c>
      <c r="L1127" s="8" t="s">
        <v>303</v>
      </c>
      <c r="M1127" s="8" t="s">
        <v>304</v>
      </c>
      <c r="N1127" s="8" t="s">
        <v>20</v>
      </c>
      <c r="O1127" s="8" t="s">
        <v>214</v>
      </c>
      <c r="P1127" s="8" t="s">
        <v>216</v>
      </c>
      <c r="Q1127" s="8" t="s">
        <v>217</v>
      </c>
      <c r="R1127" s="8" t="s">
        <v>686</v>
      </c>
      <c r="S1127" s="8"/>
      <c r="T1127" s="8"/>
      <c r="U1127" s="8" t="s">
        <v>262</v>
      </c>
      <c r="V1127" s="8"/>
      <c r="W1127" s="8"/>
      <c r="X1127" s="8"/>
      <c r="Y1127" s="8"/>
    </row>
    <row r="1128" spans="1:25" hidden="1" x14ac:dyDescent="0.25">
      <c r="A1128" s="283" t="s">
        <v>725</v>
      </c>
      <c r="B1128" s="260">
        <v>45814</v>
      </c>
      <c r="C1128" s="261" t="s">
        <v>571</v>
      </c>
      <c r="D1128" s="261"/>
      <c r="E1128" s="262">
        <v>121</v>
      </c>
      <c r="F1128" s="262">
        <v>0</v>
      </c>
      <c r="G1128" s="285">
        <f>Tabla3[[#This Row],[INGRESOS]]-Tabla3[[#This Row],[EGRESOS]]</f>
        <v>-121</v>
      </c>
      <c r="H1128" s="285">
        <v>-12924191.92</v>
      </c>
      <c r="I1128" s="135">
        <v>1170</v>
      </c>
      <c r="J1128" s="136">
        <f>Tabla3[[#This Row],[EGRESOS]]/Tabla3[[#This Row],[TC]]</f>
        <v>0.10341880341880341</v>
      </c>
      <c r="K1128" s="136">
        <f>Tabla3[[#This Row],[INGRESOS]]/Tabla3[[#This Row],[TC]]</f>
        <v>0</v>
      </c>
      <c r="L1128" s="8" t="s">
        <v>303</v>
      </c>
      <c r="M1128" s="8" t="s">
        <v>304</v>
      </c>
      <c r="N1128" s="8" t="s">
        <v>20</v>
      </c>
      <c r="O1128" s="8" t="s">
        <v>184</v>
      </c>
      <c r="P1128" s="8" t="s">
        <v>185</v>
      </c>
      <c r="Q1128" s="8" t="s">
        <v>186</v>
      </c>
      <c r="R1128" s="8"/>
      <c r="S1128" s="8"/>
      <c r="T1128" s="8"/>
      <c r="U1128" s="8" t="s">
        <v>261</v>
      </c>
      <c r="V1128" s="8"/>
      <c r="W1128" s="8" t="s">
        <v>306</v>
      </c>
      <c r="X1128" s="8" t="s">
        <v>98</v>
      </c>
      <c r="Y1128" s="8" t="s">
        <v>23</v>
      </c>
    </row>
    <row r="1129" spans="1:25" hidden="1" x14ac:dyDescent="0.25">
      <c r="A1129" s="283" t="s">
        <v>725</v>
      </c>
      <c r="B1129" s="260">
        <v>45814</v>
      </c>
      <c r="C1129" s="261" t="s">
        <v>323</v>
      </c>
      <c r="D1129" s="261"/>
      <c r="E1129" s="262">
        <v>500000</v>
      </c>
      <c r="F1129" s="262">
        <v>0</v>
      </c>
      <c r="G1129" s="285">
        <f>Tabla3[[#This Row],[INGRESOS]]-Tabla3[[#This Row],[EGRESOS]]</f>
        <v>-500000</v>
      </c>
      <c r="H1129" s="285">
        <v>-12924191.92</v>
      </c>
      <c r="I1129" s="135">
        <v>1170</v>
      </c>
      <c r="J1129" s="136">
        <f>Tabla3[[#This Row],[EGRESOS]]/Tabla3[[#This Row],[TC]]</f>
        <v>427.35042735042737</v>
      </c>
      <c r="K1129" s="136">
        <f>Tabla3[[#This Row],[INGRESOS]]/Tabla3[[#This Row],[TC]]</f>
        <v>0</v>
      </c>
      <c r="L1129" s="8" t="s">
        <v>303</v>
      </c>
      <c r="M1129" s="8" t="s">
        <v>304</v>
      </c>
      <c r="N1129" s="8" t="s">
        <v>20</v>
      </c>
      <c r="O1129" s="8" t="s">
        <v>184</v>
      </c>
      <c r="P1129" s="8" t="s">
        <v>194</v>
      </c>
      <c r="Q1129" s="8" t="s">
        <v>196</v>
      </c>
      <c r="R1129" s="8" t="s">
        <v>888</v>
      </c>
      <c r="S1129" s="8" t="s">
        <v>331</v>
      </c>
      <c r="T1129" s="8"/>
      <c r="U1129" s="8" t="s">
        <v>267</v>
      </c>
      <c r="V1129" s="8" t="s">
        <v>332</v>
      </c>
      <c r="W1129" s="8" t="s">
        <v>306</v>
      </c>
      <c r="X1129" s="8" t="s">
        <v>101</v>
      </c>
      <c r="Y1129" s="8" t="s">
        <v>23</v>
      </c>
    </row>
    <row r="1130" spans="1:25" hidden="1" x14ac:dyDescent="0.25">
      <c r="A1130" s="283" t="s">
        <v>725</v>
      </c>
      <c r="B1130" s="260">
        <v>45814</v>
      </c>
      <c r="C1130" s="261" t="s">
        <v>571</v>
      </c>
      <c r="D1130" s="261"/>
      <c r="E1130" s="262">
        <v>121</v>
      </c>
      <c r="F1130" s="262">
        <v>0</v>
      </c>
      <c r="G1130" s="285">
        <f>Tabla3[[#This Row],[INGRESOS]]-Tabla3[[#This Row],[EGRESOS]]</f>
        <v>-121</v>
      </c>
      <c r="H1130" s="285">
        <v>-12924191.92</v>
      </c>
      <c r="I1130" s="135">
        <v>1170</v>
      </c>
      <c r="J1130" s="136">
        <f>Tabla3[[#This Row],[EGRESOS]]/Tabla3[[#This Row],[TC]]</f>
        <v>0.10341880341880341</v>
      </c>
      <c r="K1130" s="136">
        <f>Tabla3[[#This Row],[INGRESOS]]/Tabla3[[#This Row],[TC]]</f>
        <v>0</v>
      </c>
      <c r="L1130" s="8" t="s">
        <v>303</v>
      </c>
      <c r="M1130" s="8" t="s">
        <v>304</v>
      </c>
      <c r="N1130" s="8" t="s">
        <v>20</v>
      </c>
      <c r="O1130" s="8" t="s">
        <v>184</v>
      </c>
      <c r="P1130" s="8" t="s">
        <v>185</v>
      </c>
      <c r="Q1130" s="8" t="s">
        <v>186</v>
      </c>
      <c r="R1130" s="8"/>
      <c r="S1130" s="8"/>
      <c r="T1130" s="8"/>
      <c r="U1130" s="8" t="s">
        <v>261</v>
      </c>
      <c r="V1130" s="8"/>
      <c r="W1130" s="8" t="s">
        <v>306</v>
      </c>
      <c r="X1130" s="8" t="s">
        <v>98</v>
      </c>
      <c r="Y1130" s="8" t="s">
        <v>23</v>
      </c>
    </row>
    <row r="1131" spans="1:25" hidden="1" x14ac:dyDescent="0.25">
      <c r="A1131" s="283" t="s">
        <v>725</v>
      </c>
      <c r="B1131" s="260">
        <v>45814</v>
      </c>
      <c r="C1131" s="261" t="s">
        <v>323</v>
      </c>
      <c r="D1131" s="261"/>
      <c r="E1131" s="262">
        <v>1500000</v>
      </c>
      <c r="F1131" s="262">
        <v>0</v>
      </c>
      <c r="G1131" s="285">
        <f>Tabla3[[#This Row],[INGRESOS]]-Tabla3[[#This Row],[EGRESOS]]</f>
        <v>-1500000</v>
      </c>
      <c r="H1131" s="285">
        <v>-12924191.92</v>
      </c>
      <c r="I1131" s="135">
        <v>1170</v>
      </c>
      <c r="J1131" s="136">
        <f>Tabla3[[#This Row],[EGRESOS]]/Tabla3[[#This Row],[TC]]</f>
        <v>1282.051282051282</v>
      </c>
      <c r="K1131" s="136">
        <f>Tabla3[[#This Row],[INGRESOS]]/Tabla3[[#This Row],[TC]]</f>
        <v>0</v>
      </c>
      <c r="L1131" s="8" t="s">
        <v>303</v>
      </c>
      <c r="M1131" s="8" t="s">
        <v>304</v>
      </c>
      <c r="N1131" s="8" t="s">
        <v>20</v>
      </c>
      <c r="O1131" s="8" t="s">
        <v>184</v>
      </c>
      <c r="P1131" s="8" t="s">
        <v>194</v>
      </c>
      <c r="Q1131" s="8" t="s">
        <v>196</v>
      </c>
      <c r="R1131" s="8" t="s">
        <v>226</v>
      </c>
      <c r="S1131" s="8" t="s">
        <v>311</v>
      </c>
      <c r="T1131" s="8"/>
      <c r="U1131" s="8" t="s">
        <v>277</v>
      </c>
      <c r="V1131" s="8" t="s">
        <v>311</v>
      </c>
      <c r="W1131" s="8" t="s">
        <v>306</v>
      </c>
      <c r="X1131" s="8" t="s">
        <v>103</v>
      </c>
      <c r="Y1131" s="8" t="s">
        <v>23</v>
      </c>
    </row>
    <row r="1132" spans="1:25" hidden="1" x14ac:dyDescent="0.25">
      <c r="A1132" s="283" t="s">
        <v>725</v>
      </c>
      <c r="B1132" s="260">
        <v>45814</v>
      </c>
      <c r="C1132" s="261" t="s">
        <v>571</v>
      </c>
      <c r="D1132" s="261"/>
      <c r="E1132" s="262">
        <v>121</v>
      </c>
      <c r="F1132" s="262">
        <v>0</v>
      </c>
      <c r="G1132" s="285">
        <f>Tabla3[[#This Row],[INGRESOS]]-Tabla3[[#This Row],[EGRESOS]]</f>
        <v>-121</v>
      </c>
      <c r="H1132" s="285">
        <v>-12924191.92</v>
      </c>
      <c r="I1132" s="135">
        <v>1170</v>
      </c>
      <c r="J1132" s="136">
        <f>Tabla3[[#This Row],[EGRESOS]]/Tabla3[[#This Row],[TC]]</f>
        <v>0.10341880341880341</v>
      </c>
      <c r="K1132" s="136">
        <f>Tabla3[[#This Row],[INGRESOS]]/Tabla3[[#This Row],[TC]]</f>
        <v>0</v>
      </c>
      <c r="L1132" s="8" t="s">
        <v>303</v>
      </c>
      <c r="M1132" s="8" t="s">
        <v>304</v>
      </c>
      <c r="N1132" s="8" t="s">
        <v>20</v>
      </c>
      <c r="O1132" s="8" t="s">
        <v>184</v>
      </c>
      <c r="P1132" s="8" t="s">
        <v>185</v>
      </c>
      <c r="Q1132" s="8" t="s">
        <v>186</v>
      </c>
      <c r="R1132" s="8"/>
      <c r="S1132" s="8"/>
      <c r="T1132" s="8"/>
      <c r="U1132" s="8" t="s">
        <v>261</v>
      </c>
      <c r="V1132" s="8"/>
      <c r="W1132" s="8" t="s">
        <v>306</v>
      </c>
      <c r="X1132" s="8" t="s">
        <v>98</v>
      </c>
      <c r="Y1132" s="8" t="s">
        <v>23</v>
      </c>
    </row>
    <row r="1133" spans="1:25" hidden="1" x14ac:dyDescent="0.25">
      <c r="A1133" s="283" t="s">
        <v>725</v>
      </c>
      <c r="B1133" s="260">
        <v>45814</v>
      </c>
      <c r="C1133" s="261" t="s">
        <v>830</v>
      </c>
      <c r="D1133" s="261"/>
      <c r="E1133" s="262">
        <v>0</v>
      </c>
      <c r="F1133" s="262">
        <v>1084629.8999999999</v>
      </c>
      <c r="G1133" s="285">
        <f>Tabla3[[#This Row],[INGRESOS]]-Tabla3[[#This Row],[EGRESOS]]</f>
        <v>1084629.8999999999</v>
      </c>
      <c r="H1133" s="285">
        <v>-11839562.02</v>
      </c>
      <c r="I1133" s="135">
        <v>1170</v>
      </c>
      <c r="J1133" s="136">
        <f>Tabla3[[#This Row],[EGRESOS]]/Tabla3[[#This Row],[TC]]</f>
        <v>0</v>
      </c>
      <c r="K1133" s="136">
        <f>Tabla3[[#This Row],[INGRESOS]]/Tabla3[[#This Row],[TC]]</f>
        <v>927.03410256410245</v>
      </c>
      <c r="L1133" s="8" t="s">
        <v>303</v>
      </c>
      <c r="M1133" s="8" t="s">
        <v>304</v>
      </c>
      <c r="N1133" s="8" t="s">
        <v>20</v>
      </c>
      <c r="O1133" s="8" t="s">
        <v>214</v>
      </c>
      <c r="P1133" s="8" t="s">
        <v>218</v>
      </c>
      <c r="Q1133" s="8" t="s">
        <v>1067</v>
      </c>
      <c r="R1133" s="8" t="s">
        <v>1068</v>
      </c>
      <c r="S1133" s="8"/>
      <c r="T1133" s="8"/>
      <c r="U1133" s="8" t="s">
        <v>264</v>
      </c>
      <c r="V1133" s="8"/>
      <c r="W1133" s="8" t="s">
        <v>306</v>
      </c>
      <c r="X1133" s="8" t="s">
        <v>23</v>
      </c>
      <c r="Y1133" s="8" t="s">
        <v>84</v>
      </c>
    </row>
    <row r="1134" spans="1:25" hidden="1" x14ac:dyDescent="0.25">
      <c r="A1134" s="283" t="s">
        <v>725</v>
      </c>
      <c r="B1134" s="260">
        <v>45814</v>
      </c>
      <c r="C1134" s="261" t="s">
        <v>830</v>
      </c>
      <c r="D1134" s="261"/>
      <c r="E1134" s="262">
        <v>0</v>
      </c>
      <c r="F1134" s="262">
        <v>29529966.800000001</v>
      </c>
      <c r="G1134" s="285">
        <f>Tabla3[[#This Row],[INGRESOS]]-Tabla3[[#This Row],[EGRESOS]]</f>
        <v>29529966.800000001</v>
      </c>
      <c r="H1134" s="285">
        <v>17690404.780000001</v>
      </c>
      <c r="I1134" s="135">
        <v>1170</v>
      </c>
      <c r="J1134" s="136">
        <f>Tabla3[[#This Row],[EGRESOS]]/Tabla3[[#This Row],[TC]]</f>
        <v>0</v>
      </c>
      <c r="K1134" s="136">
        <f>Tabla3[[#This Row],[INGRESOS]]/Tabla3[[#This Row],[TC]]</f>
        <v>25239.287863247864</v>
      </c>
      <c r="L1134" s="8" t="s">
        <v>303</v>
      </c>
      <c r="M1134" s="8" t="s">
        <v>304</v>
      </c>
      <c r="N1134" s="8" t="s">
        <v>20</v>
      </c>
      <c r="O1134" s="8" t="s">
        <v>214</v>
      </c>
      <c r="P1134" s="8" t="s">
        <v>218</v>
      </c>
      <c r="Q1134" s="8" t="s">
        <v>1067</v>
      </c>
      <c r="R1134" s="8" t="s">
        <v>1068</v>
      </c>
      <c r="S1134" s="8"/>
      <c r="T1134" s="8"/>
      <c r="U1134" s="8" t="s">
        <v>264</v>
      </c>
      <c r="V1134" s="8"/>
      <c r="W1134" s="8" t="s">
        <v>306</v>
      </c>
      <c r="X1134" s="8" t="s">
        <v>23</v>
      </c>
      <c r="Y1134" s="8" t="s">
        <v>84</v>
      </c>
    </row>
    <row r="1135" spans="1:25" hidden="1" x14ac:dyDescent="0.25">
      <c r="A1135" s="283" t="s">
        <v>725</v>
      </c>
      <c r="B1135" s="260">
        <v>45814</v>
      </c>
      <c r="C1135" s="261" t="s">
        <v>507</v>
      </c>
      <c r="D1135" s="261"/>
      <c r="E1135" s="262">
        <v>4620</v>
      </c>
      <c r="F1135" s="262">
        <v>0</v>
      </c>
      <c r="G1135" s="285">
        <f>Tabla3[[#This Row],[INGRESOS]]-Tabla3[[#This Row],[EGRESOS]]</f>
        <v>-4620</v>
      </c>
      <c r="H1135" s="285">
        <v>17685784.780000001</v>
      </c>
      <c r="I1135" s="135">
        <v>1170</v>
      </c>
      <c r="J1135" s="136">
        <f>Tabla3[[#This Row],[EGRESOS]]/Tabla3[[#This Row],[TC]]</f>
        <v>3.9487179487179489</v>
      </c>
      <c r="K1135" s="136">
        <f>Tabla3[[#This Row],[INGRESOS]]/Tabla3[[#This Row],[TC]]</f>
        <v>0</v>
      </c>
      <c r="L1135" s="8" t="s">
        <v>303</v>
      </c>
      <c r="M1135" s="8" t="s">
        <v>304</v>
      </c>
      <c r="N1135" s="8" t="s">
        <v>20</v>
      </c>
      <c r="O1135" s="8" t="s">
        <v>184</v>
      </c>
      <c r="P1135" s="8" t="s">
        <v>187</v>
      </c>
      <c r="Q1135" s="8" t="s">
        <v>188</v>
      </c>
      <c r="R1135" s="8" t="s">
        <v>308</v>
      </c>
      <c r="S1135" s="8"/>
      <c r="T1135" s="8"/>
      <c r="U1135" s="8" t="s">
        <v>261</v>
      </c>
      <c r="V1135" s="8"/>
      <c r="W1135" s="8" t="s">
        <v>306</v>
      </c>
      <c r="X1135" s="8" t="s">
        <v>98</v>
      </c>
      <c r="Y1135" s="8" t="s">
        <v>23</v>
      </c>
    </row>
    <row r="1136" spans="1:25" hidden="1" x14ac:dyDescent="0.25">
      <c r="A1136" s="283" t="s">
        <v>725</v>
      </c>
      <c r="B1136" s="260">
        <v>45814</v>
      </c>
      <c r="C1136" s="261" t="s">
        <v>508</v>
      </c>
      <c r="D1136" s="261"/>
      <c r="E1136" s="262">
        <v>660</v>
      </c>
      <c r="F1136" s="262">
        <v>0</v>
      </c>
      <c r="G1136" s="285">
        <f>Tabla3[[#This Row],[INGRESOS]]-Tabla3[[#This Row],[EGRESOS]]</f>
        <v>-660</v>
      </c>
      <c r="H1136" s="285">
        <v>17685124.780000001</v>
      </c>
      <c r="I1136" s="135">
        <v>1170</v>
      </c>
      <c r="J1136" s="136">
        <f>Tabla3[[#This Row],[EGRESOS]]/Tabla3[[#This Row],[TC]]</f>
        <v>0.5641025641025641</v>
      </c>
      <c r="K1136" s="136">
        <f>Tabla3[[#This Row],[INGRESOS]]/Tabla3[[#This Row],[TC]]</f>
        <v>0</v>
      </c>
      <c r="L1136" s="8" t="s">
        <v>303</v>
      </c>
      <c r="M1136" s="8" t="s">
        <v>304</v>
      </c>
      <c r="N1136" s="8" t="s">
        <v>20</v>
      </c>
      <c r="O1136" s="8" t="s">
        <v>184</v>
      </c>
      <c r="P1136" s="8" t="s">
        <v>187</v>
      </c>
      <c r="Q1136" s="8" t="s">
        <v>188</v>
      </c>
      <c r="R1136" s="8" t="s">
        <v>334</v>
      </c>
      <c r="S1136" s="8"/>
      <c r="T1136" s="8"/>
      <c r="U1136" s="8" t="s">
        <v>261</v>
      </c>
      <c r="V1136" s="8"/>
      <c r="W1136" s="8" t="s">
        <v>306</v>
      </c>
      <c r="X1136" s="8" t="s">
        <v>98</v>
      </c>
      <c r="Y1136" s="8" t="s">
        <v>23</v>
      </c>
    </row>
    <row r="1137" spans="1:25" hidden="1" x14ac:dyDescent="0.25">
      <c r="A1137" s="283" t="s">
        <v>725</v>
      </c>
      <c r="B1137" s="260">
        <v>45814</v>
      </c>
      <c r="C1137" s="261" t="s">
        <v>545</v>
      </c>
      <c r="D1137" s="261"/>
      <c r="E1137" s="262">
        <v>22000</v>
      </c>
      <c r="F1137" s="262">
        <v>0</v>
      </c>
      <c r="G1137" s="285">
        <f>Tabla3[[#This Row],[INGRESOS]]-Tabla3[[#This Row],[EGRESOS]]</f>
        <v>-22000</v>
      </c>
      <c r="H1137" s="285">
        <v>17663124.780000001</v>
      </c>
      <c r="I1137" s="135">
        <v>1170</v>
      </c>
      <c r="J1137" s="136">
        <f>Tabla3[[#This Row],[EGRESOS]]/Tabla3[[#This Row],[TC]]</f>
        <v>18.803418803418804</v>
      </c>
      <c r="K1137" s="136">
        <f>Tabla3[[#This Row],[INGRESOS]]/Tabla3[[#This Row],[TC]]</f>
        <v>0</v>
      </c>
      <c r="L1137" s="8" t="s">
        <v>303</v>
      </c>
      <c r="M1137" s="8" t="s">
        <v>304</v>
      </c>
      <c r="N1137" s="8" t="s">
        <v>20</v>
      </c>
      <c r="O1137" s="8" t="s">
        <v>184</v>
      </c>
      <c r="P1137" s="8" t="s">
        <v>185</v>
      </c>
      <c r="Q1137" s="8" t="s">
        <v>186</v>
      </c>
      <c r="R1137" s="8"/>
      <c r="S1137" s="8"/>
      <c r="T1137" s="8"/>
      <c r="U1137" s="8" t="s">
        <v>261</v>
      </c>
      <c r="V1137" s="8"/>
      <c r="W1137" s="8" t="s">
        <v>306</v>
      </c>
      <c r="X1137" s="8" t="s">
        <v>98</v>
      </c>
      <c r="Y1137" s="8" t="s">
        <v>23</v>
      </c>
    </row>
    <row r="1138" spans="1:25" hidden="1" x14ac:dyDescent="0.25">
      <c r="A1138" s="283" t="s">
        <v>725</v>
      </c>
      <c r="B1138" s="260">
        <v>45814</v>
      </c>
      <c r="C1138" s="261" t="s">
        <v>637</v>
      </c>
      <c r="D1138" s="261"/>
      <c r="E1138" s="262">
        <v>183687.58</v>
      </c>
      <c r="F1138" s="262">
        <v>0</v>
      </c>
      <c r="G1138" s="285">
        <f>Tabla3[[#This Row],[INGRESOS]]-Tabla3[[#This Row],[EGRESOS]]</f>
        <v>-183687.58</v>
      </c>
      <c r="H1138" s="285">
        <v>17479437.199999999</v>
      </c>
      <c r="I1138" s="135">
        <v>1170</v>
      </c>
      <c r="J1138" s="136">
        <f>Tabla3[[#This Row],[EGRESOS]]/Tabla3[[#This Row],[TC]]</f>
        <v>156.99793162393161</v>
      </c>
      <c r="K1138" s="136">
        <f>Tabla3[[#This Row],[INGRESOS]]/Tabla3[[#This Row],[TC]]</f>
        <v>0</v>
      </c>
      <c r="L1138" s="8" t="s">
        <v>303</v>
      </c>
      <c r="M1138" s="8" t="s">
        <v>304</v>
      </c>
      <c r="N1138" s="8" t="s">
        <v>20</v>
      </c>
      <c r="O1138" s="8" t="s">
        <v>184</v>
      </c>
      <c r="P1138" s="8" t="s">
        <v>187</v>
      </c>
      <c r="Q1138" s="8" t="s">
        <v>188</v>
      </c>
      <c r="R1138" s="8" t="s">
        <v>317</v>
      </c>
      <c r="S1138" s="8"/>
      <c r="T1138" s="8"/>
      <c r="U1138" s="8" t="s">
        <v>261</v>
      </c>
      <c r="V1138" s="8"/>
      <c r="W1138" s="8" t="s">
        <v>306</v>
      </c>
      <c r="X1138" s="8" t="s">
        <v>98</v>
      </c>
      <c r="Y1138" s="8" t="s">
        <v>23</v>
      </c>
    </row>
    <row r="1139" spans="1:25" hidden="1" x14ac:dyDescent="0.25">
      <c r="A1139" s="283" t="s">
        <v>725</v>
      </c>
      <c r="B1139" s="260">
        <v>45814</v>
      </c>
      <c r="C1139" s="261" t="s">
        <v>637</v>
      </c>
      <c r="D1139" s="261"/>
      <c r="E1139" s="262">
        <v>12165.14</v>
      </c>
      <c r="F1139" s="262">
        <v>0</v>
      </c>
      <c r="G1139" s="285">
        <f>Tabla3[[#This Row],[INGRESOS]]-Tabla3[[#This Row],[EGRESOS]]</f>
        <v>-12165.14</v>
      </c>
      <c r="H1139" s="285">
        <v>17467272.059999999</v>
      </c>
      <c r="I1139" s="135">
        <v>1170</v>
      </c>
      <c r="J1139" s="136">
        <f>Tabla3[[#This Row],[EGRESOS]]/Tabla3[[#This Row],[TC]]</f>
        <v>10.397555555555556</v>
      </c>
      <c r="K1139" s="136">
        <f>Tabla3[[#This Row],[INGRESOS]]/Tabla3[[#This Row],[TC]]</f>
        <v>0</v>
      </c>
      <c r="L1139" s="8" t="s">
        <v>303</v>
      </c>
      <c r="M1139" s="8" t="s">
        <v>304</v>
      </c>
      <c r="N1139" s="8" t="s">
        <v>20</v>
      </c>
      <c r="O1139" s="8" t="s">
        <v>184</v>
      </c>
      <c r="P1139" s="8" t="s">
        <v>187</v>
      </c>
      <c r="Q1139" s="8" t="s">
        <v>188</v>
      </c>
      <c r="R1139" s="8" t="s">
        <v>317</v>
      </c>
      <c r="S1139" s="8"/>
      <c r="T1139" s="8"/>
      <c r="U1139" s="8" t="s">
        <v>261</v>
      </c>
      <c r="V1139" s="8"/>
      <c r="W1139" s="8" t="s">
        <v>306</v>
      </c>
      <c r="X1139" s="8" t="s">
        <v>98</v>
      </c>
      <c r="Y1139" s="8" t="s">
        <v>23</v>
      </c>
    </row>
    <row r="1140" spans="1:25" hidden="1" x14ac:dyDescent="0.25">
      <c r="A1140" s="283" t="s">
        <v>725</v>
      </c>
      <c r="B1140" s="260">
        <v>45817</v>
      </c>
      <c r="C1140" s="261" t="s">
        <v>829</v>
      </c>
      <c r="D1140" s="261"/>
      <c r="E1140" s="262">
        <v>0</v>
      </c>
      <c r="F1140" s="262">
        <v>696888.2</v>
      </c>
      <c r="G1140" s="285">
        <f>Tabla3[[#This Row],[INGRESOS]]-Tabla3[[#This Row],[EGRESOS]]</f>
        <v>696888.2</v>
      </c>
      <c r="H1140" s="285">
        <v>18164160.260000002</v>
      </c>
      <c r="I1140" s="135">
        <v>1170</v>
      </c>
      <c r="J1140" s="136">
        <f>Tabla3[[#This Row],[EGRESOS]]/Tabla3[[#This Row],[TC]]</f>
        <v>0</v>
      </c>
      <c r="K1140" s="136">
        <f>Tabla3[[#This Row],[INGRESOS]]/Tabla3[[#This Row],[TC]]</f>
        <v>595.63094017094011</v>
      </c>
      <c r="L1140" s="8" t="s">
        <v>303</v>
      </c>
      <c r="M1140" s="8" t="s">
        <v>304</v>
      </c>
      <c r="N1140" s="8" t="s">
        <v>20</v>
      </c>
      <c r="O1140" s="8" t="s">
        <v>197</v>
      </c>
      <c r="P1140" s="8" t="s">
        <v>198</v>
      </c>
      <c r="Q1140" s="8" t="s">
        <v>201</v>
      </c>
      <c r="R1140" s="8" t="s">
        <v>831</v>
      </c>
      <c r="S1140" s="8" t="s">
        <v>682</v>
      </c>
      <c r="T1140" s="8"/>
      <c r="U1140" s="8" t="s">
        <v>269</v>
      </c>
      <c r="V1140" s="8"/>
      <c r="W1140" s="8" t="s">
        <v>306</v>
      </c>
      <c r="X1140" s="8" t="s">
        <v>23</v>
      </c>
      <c r="Y1140" s="8" t="s">
        <v>96</v>
      </c>
    </row>
    <row r="1141" spans="1:25" hidden="1" x14ac:dyDescent="0.25">
      <c r="A1141" s="283" t="s">
        <v>725</v>
      </c>
      <c r="B1141" s="260">
        <v>45817</v>
      </c>
      <c r="C1141" s="261" t="s">
        <v>688</v>
      </c>
      <c r="D1141" s="261"/>
      <c r="E1141" s="262">
        <v>0</v>
      </c>
      <c r="F1141" s="262">
        <v>1258168.71</v>
      </c>
      <c r="G1141" s="285">
        <f>Tabla3[[#This Row],[INGRESOS]]-Tabla3[[#This Row],[EGRESOS]]</f>
        <v>1258168.71</v>
      </c>
      <c r="H1141" s="285">
        <v>19422328.969999999</v>
      </c>
      <c r="I1141" s="135">
        <v>1170</v>
      </c>
      <c r="J1141" s="136">
        <f>Tabla3[[#This Row],[EGRESOS]]/Tabla3[[#This Row],[TC]]</f>
        <v>0</v>
      </c>
      <c r="K1141" s="136">
        <f>Tabla3[[#This Row],[INGRESOS]]/Tabla3[[#This Row],[TC]]</f>
        <v>1075.3578717948717</v>
      </c>
      <c r="L1141" s="8" t="s">
        <v>303</v>
      </c>
      <c r="M1141" s="8" t="s">
        <v>304</v>
      </c>
      <c r="N1141" s="8" t="s">
        <v>20</v>
      </c>
      <c r="O1141" s="8" t="s">
        <v>197</v>
      </c>
      <c r="P1141" s="8" t="s">
        <v>198</v>
      </c>
      <c r="Q1141" s="8" t="s">
        <v>201</v>
      </c>
      <c r="R1141" s="8" t="s">
        <v>831</v>
      </c>
      <c r="S1141" s="8" t="s">
        <v>689</v>
      </c>
      <c r="T1141" s="8"/>
      <c r="U1141" s="8" t="s">
        <v>269</v>
      </c>
      <c r="V1141" s="8"/>
      <c r="W1141" s="8" t="s">
        <v>306</v>
      </c>
      <c r="X1141" s="8" t="s">
        <v>23</v>
      </c>
      <c r="Y1141" s="8" t="s">
        <v>96</v>
      </c>
    </row>
    <row r="1142" spans="1:25" hidden="1" x14ac:dyDescent="0.25">
      <c r="A1142" s="283" t="s">
        <v>725</v>
      </c>
      <c r="B1142" s="260">
        <v>45817</v>
      </c>
      <c r="C1142" s="261" t="s">
        <v>637</v>
      </c>
      <c r="D1142" s="261"/>
      <c r="E1142" s="262">
        <v>11730.34</v>
      </c>
      <c r="F1142" s="262">
        <v>0</v>
      </c>
      <c r="G1142" s="285">
        <f>Tabla3[[#This Row],[INGRESOS]]-Tabla3[[#This Row],[EGRESOS]]</f>
        <v>-11730.34</v>
      </c>
      <c r="H1142" s="285">
        <v>19410598.629999999</v>
      </c>
      <c r="I1142" s="135">
        <v>1170</v>
      </c>
      <c r="J1142" s="136">
        <f>Tabla3[[#This Row],[EGRESOS]]/Tabla3[[#This Row],[TC]]</f>
        <v>10.025931623931625</v>
      </c>
      <c r="K1142" s="136">
        <f>Tabla3[[#This Row],[INGRESOS]]/Tabla3[[#This Row],[TC]]</f>
        <v>0</v>
      </c>
      <c r="L1142" s="8" t="s">
        <v>303</v>
      </c>
      <c r="M1142" s="8" t="s">
        <v>304</v>
      </c>
      <c r="N1142" s="8" t="s">
        <v>20</v>
      </c>
      <c r="O1142" s="8" t="s">
        <v>184</v>
      </c>
      <c r="P1142" s="8" t="s">
        <v>187</v>
      </c>
      <c r="Q1142" s="8" t="s">
        <v>188</v>
      </c>
      <c r="R1142" s="8" t="s">
        <v>317</v>
      </c>
      <c r="S1142" s="8"/>
      <c r="T1142" s="8"/>
      <c r="U1142" s="8" t="s">
        <v>261</v>
      </c>
      <c r="V1142" s="8"/>
      <c r="W1142" s="8" t="s">
        <v>306</v>
      </c>
      <c r="X1142" s="8" t="s">
        <v>98</v>
      </c>
      <c r="Y1142" s="8" t="s">
        <v>23</v>
      </c>
    </row>
    <row r="1143" spans="1:25" hidden="1" x14ac:dyDescent="0.25">
      <c r="A1143" s="283" t="s">
        <v>725</v>
      </c>
      <c r="B1143" s="260">
        <v>45818</v>
      </c>
      <c r="C1143" s="261" t="s">
        <v>323</v>
      </c>
      <c r="D1143" s="261"/>
      <c r="E1143" s="262">
        <v>1500000</v>
      </c>
      <c r="F1143" s="262">
        <v>0</v>
      </c>
      <c r="G1143" s="285">
        <f>Tabla3[[#This Row],[INGRESOS]]-Tabla3[[#This Row],[EGRESOS]]</f>
        <v>-1500000</v>
      </c>
      <c r="H1143" s="285">
        <v>17910598.629999999</v>
      </c>
      <c r="I1143" s="135">
        <v>1170</v>
      </c>
      <c r="J1143" s="136">
        <f>Tabla3[[#This Row],[EGRESOS]]/Tabla3[[#This Row],[TC]]</f>
        <v>1282.051282051282</v>
      </c>
      <c r="K1143" s="136">
        <f>Tabla3[[#This Row],[INGRESOS]]/Tabla3[[#This Row],[TC]]</f>
        <v>0</v>
      </c>
      <c r="L1143" s="8" t="s">
        <v>303</v>
      </c>
      <c r="M1143" s="8" t="s">
        <v>304</v>
      </c>
      <c r="N1143" s="8" t="s">
        <v>20</v>
      </c>
      <c r="O1143" s="8" t="s">
        <v>214</v>
      </c>
      <c r="P1143" s="8" t="s">
        <v>216</v>
      </c>
      <c r="Q1143" s="8" t="s">
        <v>217</v>
      </c>
      <c r="R1143" s="8" t="s">
        <v>686</v>
      </c>
      <c r="S1143" s="8"/>
      <c r="T1143" s="8"/>
      <c r="U1143" s="8" t="s">
        <v>262</v>
      </c>
      <c r="V1143" s="8"/>
      <c r="W1143" s="8"/>
      <c r="X1143" s="8"/>
      <c r="Y1143" s="8"/>
    </row>
    <row r="1144" spans="1:25" hidden="1" x14ac:dyDescent="0.25">
      <c r="A1144" s="283" t="s">
        <v>725</v>
      </c>
      <c r="B1144" s="260">
        <v>45818</v>
      </c>
      <c r="C1144" s="261" t="s">
        <v>571</v>
      </c>
      <c r="D1144" s="261"/>
      <c r="E1144" s="262">
        <v>121</v>
      </c>
      <c r="F1144" s="262">
        <v>0</v>
      </c>
      <c r="G1144" s="285">
        <f>Tabla3[[#This Row],[INGRESOS]]-Tabla3[[#This Row],[EGRESOS]]</f>
        <v>-121</v>
      </c>
      <c r="H1144" s="285">
        <v>17910477.629999999</v>
      </c>
      <c r="I1144" s="135">
        <v>1170</v>
      </c>
      <c r="J1144" s="136">
        <f>Tabla3[[#This Row],[EGRESOS]]/Tabla3[[#This Row],[TC]]</f>
        <v>0.10341880341880341</v>
      </c>
      <c r="K1144" s="136">
        <f>Tabla3[[#This Row],[INGRESOS]]/Tabla3[[#This Row],[TC]]</f>
        <v>0</v>
      </c>
      <c r="L1144" s="8" t="s">
        <v>303</v>
      </c>
      <c r="M1144" s="8" t="s">
        <v>304</v>
      </c>
      <c r="N1144" s="8" t="s">
        <v>20</v>
      </c>
      <c r="O1144" s="8" t="s">
        <v>184</v>
      </c>
      <c r="P1144" s="8" t="s">
        <v>185</v>
      </c>
      <c r="Q1144" s="8" t="s">
        <v>186</v>
      </c>
      <c r="R1144" s="8"/>
      <c r="S1144" s="8"/>
      <c r="T1144" s="8"/>
      <c r="U1144" s="8" t="s">
        <v>261</v>
      </c>
      <c r="V1144" s="8"/>
      <c r="W1144" s="8" t="s">
        <v>306</v>
      </c>
      <c r="X1144" s="8" t="s">
        <v>98</v>
      </c>
      <c r="Y1144" s="8" t="s">
        <v>23</v>
      </c>
    </row>
    <row r="1145" spans="1:25" hidden="1" x14ac:dyDescent="0.25">
      <c r="A1145" s="283" t="s">
        <v>725</v>
      </c>
      <c r="B1145" s="260">
        <v>45818</v>
      </c>
      <c r="C1145" s="261" t="s">
        <v>542</v>
      </c>
      <c r="D1145" s="261"/>
      <c r="E1145" s="262">
        <v>1000000</v>
      </c>
      <c r="F1145" s="262">
        <v>0</v>
      </c>
      <c r="G1145" s="285">
        <f>Tabla3[[#This Row],[INGRESOS]]-Tabla3[[#This Row],[EGRESOS]]</f>
        <v>-1000000</v>
      </c>
      <c r="H1145" s="285">
        <v>16910477.629999999</v>
      </c>
      <c r="I1145" s="135">
        <v>1170</v>
      </c>
      <c r="J1145" s="136">
        <f>Tabla3[[#This Row],[EGRESOS]]/Tabla3[[#This Row],[TC]]</f>
        <v>854.70085470085473</v>
      </c>
      <c r="K1145" s="136">
        <f>Tabla3[[#This Row],[INGRESOS]]/Tabla3[[#This Row],[TC]]</f>
        <v>0</v>
      </c>
      <c r="L1145" s="8" t="s">
        <v>303</v>
      </c>
      <c r="M1145" s="8" t="s">
        <v>304</v>
      </c>
      <c r="N1145" s="8" t="s">
        <v>20</v>
      </c>
      <c r="O1145" s="8" t="s">
        <v>184</v>
      </c>
      <c r="P1145" s="8" t="s">
        <v>194</v>
      </c>
      <c r="Q1145" s="8" t="s">
        <v>196</v>
      </c>
      <c r="R1145" s="8" t="s">
        <v>226</v>
      </c>
      <c r="S1145" s="8" t="s">
        <v>311</v>
      </c>
      <c r="T1145" s="8"/>
      <c r="U1145" s="8" t="s">
        <v>277</v>
      </c>
      <c r="V1145" s="8" t="s">
        <v>311</v>
      </c>
      <c r="W1145" s="8" t="s">
        <v>306</v>
      </c>
      <c r="X1145" s="8" t="s">
        <v>103</v>
      </c>
      <c r="Y1145" s="8" t="s">
        <v>23</v>
      </c>
    </row>
    <row r="1146" spans="1:25" hidden="1" x14ac:dyDescent="0.25">
      <c r="A1146" s="283" t="s">
        <v>725</v>
      </c>
      <c r="B1146" s="260">
        <v>45818</v>
      </c>
      <c r="C1146" s="261" t="s">
        <v>571</v>
      </c>
      <c r="D1146" s="261"/>
      <c r="E1146" s="262">
        <v>121</v>
      </c>
      <c r="F1146" s="262">
        <v>0</v>
      </c>
      <c r="G1146" s="285">
        <f>Tabla3[[#This Row],[INGRESOS]]-Tabla3[[#This Row],[EGRESOS]]</f>
        <v>-121</v>
      </c>
      <c r="H1146" s="285">
        <v>16910356.629999999</v>
      </c>
      <c r="I1146" s="135">
        <v>1170</v>
      </c>
      <c r="J1146" s="136">
        <f>Tabla3[[#This Row],[EGRESOS]]/Tabla3[[#This Row],[TC]]</f>
        <v>0.10341880341880341</v>
      </c>
      <c r="K1146" s="136">
        <f>Tabla3[[#This Row],[INGRESOS]]/Tabla3[[#This Row],[TC]]</f>
        <v>0</v>
      </c>
      <c r="L1146" s="8" t="s">
        <v>303</v>
      </c>
      <c r="M1146" s="8" t="s">
        <v>304</v>
      </c>
      <c r="N1146" s="8" t="s">
        <v>20</v>
      </c>
      <c r="O1146" s="8" t="s">
        <v>184</v>
      </c>
      <c r="P1146" s="8" t="s">
        <v>185</v>
      </c>
      <c r="Q1146" s="8" t="s">
        <v>186</v>
      </c>
      <c r="R1146" s="8"/>
      <c r="S1146" s="8"/>
      <c r="T1146" s="8"/>
      <c r="U1146" s="8" t="s">
        <v>261</v>
      </c>
      <c r="V1146" s="8"/>
      <c r="W1146" s="8" t="s">
        <v>306</v>
      </c>
      <c r="X1146" s="8" t="s">
        <v>98</v>
      </c>
      <c r="Y1146" s="8" t="s">
        <v>23</v>
      </c>
    </row>
    <row r="1147" spans="1:25" hidden="1" x14ac:dyDescent="0.25">
      <c r="A1147" s="283" t="s">
        <v>725</v>
      </c>
      <c r="B1147" s="260">
        <v>45818</v>
      </c>
      <c r="C1147" s="261" t="s">
        <v>542</v>
      </c>
      <c r="D1147" s="261"/>
      <c r="E1147" s="262">
        <v>480960</v>
      </c>
      <c r="F1147" s="262">
        <v>0</v>
      </c>
      <c r="G1147" s="285">
        <f>Tabla3[[#This Row],[INGRESOS]]-Tabla3[[#This Row],[EGRESOS]]</f>
        <v>-480960</v>
      </c>
      <c r="H1147" s="285">
        <v>16429396.630000001</v>
      </c>
      <c r="I1147" s="135">
        <v>1170</v>
      </c>
      <c r="J1147" s="136">
        <f>Tabla3[[#This Row],[EGRESOS]]/Tabla3[[#This Row],[TC]]</f>
        <v>411.07692307692309</v>
      </c>
      <c r="K1147" s="136">
        <f>Tabla3[[#This Row],[INGRESOS]]/Tabla3[[#This Row],[TC]]</f>
        <v>0</v>
      </c>
      <c r="L1147" s="8" t="s">
        <v>303</v>
      </c>
      <c r="M1147" s="8" t="s">
        <v>304</v>
      </c>
      <c r="N1147" s="8" t="s">
        <v>20</v>
      </c>
      <c r="O1147" s="8" t="s">
        <v>184</v>
      </c>
      <c r="P1147" s="8" t="s">
        <v>191</v>
      </c>
      <c r="Q1147" s="8" t="s">
        <v>193</v>
      </c>
      <c r="R1147" s="8" t="s">
        <v>841</v>
      </c>
      <c r="S1147" s="8" t="s">
        <v>315</v>
      </c>
      <c r="T1147" s="8"/>
      <c r="U1147" s="8" t="s">
        <v>266</v>
      </c>
      <c r="V1147" s="8"/>
      <c r="W1147" s="8" t="s">
        <v>306</v>
      </c>
      <c r="X1147" s="8" t="s">
        <v>98</v>
      </c>
      <c r="Y1147" s="8" t="s">
        <v>23</v>
      </c>
    </row>
    <row r="1148" spans="1:25" hidden="1" x14ac:dyDescent="0.25">
      <c r="A1148" s="283" t="s">
        <v>725</v>
      </c>
      <c r="B1148" s="260">
        <v>45818</v>
      </c>
      <c r="C1148" s="261" t="s">
        <v>571</v>
      </c>
      <c r="D1148" s="261"/>
      <c r="E1148" s="262">
        <v>121</v>
      </c>
      <c r="F1148" s="262">
        <v>0</v>
      </c>
      <c r="G1148" s="285">
        <f>Tabla3[[#This Row],[INGRESOS]]-Tabla3[[#This Row],[EGRESOS]]</f>
        <v>-121</v>
      </c>
      <c r="H1148" s="285">
        <v>16429275.630000001</v>
      </c>
      <c r="I1148" s="135">
        <v>1170</v>
      </c>
      <c r="J1148" s="136">
        <f>Tabla3[[#This Row],[EGRESOS]]/Tabla3[[#This Row],[TC]]</f>
        <v>0.10341880341880341</v>
      </c>
      <c r="K1148" s="136">
        <f>Tabla3[[#This Row],[INGRESOS]]/Tabla3[[#This Row],[TC]]</f>
        <v>0</v>
      </c>
      <c r="L1148" s="8" t="s">
        <v>303</v>
      </c>
      <c r="M1148" s="8" t="s">
        <v>304</v>
      </c>
      <c r="N1148" s="8" t="s">
        <v>20</v>
      </c>
      <c r="O1148" s="8" t="s">
        <v>184</v>
      </c>
      <c r="P1148" s="8" t="s">
        <v>185</v>
      </c>
      <c r="Q1148" s="8" t="s">
        <v>186</v>
      </c>
      <c r="R1148" s="8"/>
      <c r="S1148" s="8"/>
      <c r="T1148" s="8"/>
      <c r="U1148" s="8" t="s">
        <v>261</v>
      </c>
      <c r="V1148" s="8"/>
      <c r="W1148" s="8" t="s">
        <v>306</v>
      </c>
      <c r="X1148" s="8" t="s">
        <v>98</v>
      </c>
      <c r="Y1148" s="8" t="s">
        <v>23</v>
      </c>
    </row>
    <row r="1149" spans="1:25" hidden="1" x14ac:dyDescent="0.25">
      <c r="A1149" s="283" t="s">
        <v>725</v>
      </c>
      <c r="B1149" s="260">
        <v>45818</v>
      </c>
      <c r="C1149" s="261" t="s">
        <v>542</v>
      </c>
      <c r="D1149" s="261"/>
      <c r="E1149" s="262">
        <v>902358</v>
      </c>
      <c r="F1149" s="262">
        <v>0</v>
      </c>
      <c r="G1149" s="285">
        <f>Tabla3[[#This Row],[INGRESOS]]-Tabla3[[#This Row],[EGRESOS]]</f>
        <v>-902358</v>
      </c>
      <c r="H1149" s="285">
        <v>15526917.630000001</v>
      </c>
      <c r="I1149" s="135">
        <v>1170</v>
      </c>
      <c r="J1149" s="136">
        <f>Tabla3[[#This Row],[EGRESOS]]/Tabla3[[#This Row],[TC]]</f>
        <v>771.2461538461539</v>
      </c>
      <c r="K1149" s="136">
        <f>Tabla3[[#This Row],[INGRESOS]]/Tabla3[[#This Row],[TC]]</f>
        <v>0</v>
      </c>
      <c r="L1149" s="8" t="s">
        <v>303</v>
      </c>
      <c r="M1149" s="8" t="s">
        <v>304</v>
      </c>
      <c r="N1149" s="8" t="s">
        <v>20</v>
      </c>
      <c r="O1149" s="8" t="s">
        <v>184</v>
      </c>
      <c r="P1149" s="8" t="s">
        <v>237</v>
      </c>
      <c r="Q1149" s="8" t="s">
        <v>248</v>
      </c>
      <c r="R1149" s="8" t="s">
        <v>852</v>
      </c>
      <c r="S1149" s="8" t="s">
        <v>418</v>
      </c>
      <c r="T1149" s="8"/>
      <c r="U1149" s="8" t="s">
        <v>273</v>
      </c>
      <c r="V1149" s="8"/>
      <c r="W1149" s="8" t="s">
        <v>306</v>
      </c>
      <c r="X1149" s="8" t="s">
        <v>39</v>
      </c>
      <c r="Y1149" s="8" t="s">
        <v>23</v>
      </c>
    </row>
    <row r="1150" spans="1:25" hidden="1" x14ac:dyDescent="0.25">
      <c r="A1150" s="283" t="s">
        <v>725</v>
      </c>
      <c r="B1150" s="260">
        <v>45818</v>
      </c>
      <c r="C1150" s="261" t="s">
        <v>571</v>
      </c>
      <c r="D1150" s="261"/>
      <c r="E1150" s="262">
        <v>121</v>
      </c>
      <c r="F1150" s="262">
        <v>0</v>
      </c>
      <c r="G1150" s="285">
        <f>Tabla3[[#This Row],[INGRESOS]]-Tabla3[[#This Row],[EGRESOS]]</f>
        <v>-121</v>
      </c>
      <c r="H1150" s="285">
        <v>15526796.630000001</v>
      </c>
      <c r="I1150" s="135">
        <v>1170</v>
      </c>
      <c r="J1150" s="136">
        <f>Tabla3[[#This Row],[EGRESOS]]/Tabla3[[#This Row],[TC]]</f>
        <v>0.10341880341880341</v>
      </c>
      <c r="K1150" s="136">
        <f>Tabla3[[#This Row],[INGRESOS]]/Tabla3[[#This Row],[TC]]</f>
        <v>0</v>
      </c>
      <c r="L1150" s="8" t="s">
        <v>303</v>
      </c>
      <c r="M1150" s="8" t="s">
        <v>304</v>
      </c>
      <c r="N1150" s="8" t="s">
        <v>20</v>
      </c>
      <c r="O1150" s="8" t="s">
        <v>184</v>
      </c>
      <c r="P1150" s="8" t="s">
        <v>185</v>
      </c>
      <c r="Q1150" s="8" t="s">
        <v>186</v>
      </c>
      <c r="R1150" s="8"/>
      <c r="S1150" s="8"/>
      <c r="T1150" s="8"/>
      <c r="U1150" s="8" t="s">
        <v>261</v>
      </c>
      <c r="V1150" s="8"/>
      <c r="W1150" s="8" t="s">
        <v>306</v>
      </c>
      <c r="X1150" s="8" t="s">
        <v>98</v>
      </c>
      <c r="Y1150" s="8" t="s">
        <v>23</v>
      </c>
    </row>
    <row r="1151" spans="1:25" hidden="1" x14ac:dyDescent="0.25">
      <c r="A1151" s="283" t="s">
        <v>725</v>
      </c>
      <c r="B1151" s="260">
        <v>45818</v>
      </c>
      <c r="C1151" s="261" t="s">
        <v>542</v>
      </c>
      <c r="D1151" s="261"/>
      <c r="E1151" s="262">
        <v>2000000</v>
      </c>
      <c r="F1151" s="262">
        <v>0</v>
      </c>
      <c r="G1151" s="285">
        <f>Tabla3[[#This Row],[INGRESOS]]-Tabla3[[#This Row],[EGRESOS]]</f>
        <v>-2000000</v>
      </c>
      <c r="H1151" s="285">
        <v>13526796.630000001</v>
      </c>
      <c r="I1151" s="135">
        <v>1170</v>
      </c>
      <c r="J1151" s="136">
        <f>Tabla3[[#This Row],[EGRESOS]]/Tabla3[[#This Row],[TC]]</f>
        <v>1709.4017094017095</v>
      </c>
      <c r="K1151" s="136">
        <f>Tabla3[[#This Row],[INGRESOS]]/Tabla3[[#This Row],[TC]]</f>
        <v>0</v>
      </c>
      <c r="L1151" s="8" t="s">
        <v>303</v>
      </c>
      <c r="M1151" s="8" t="s">
        <v>304</v>
      </c>
      <c r="N1151" s="8" t="s">
        <v>20</v>
      </c>
      <c r="O1151" s="8" t="s">
        <v>184</v>
      </c>
      <c r="P1151" s="8" t="s">
        <v>194</v>
      </c>
      <c r="Q1151" s="8" t="s">
        <v>195</v>
      </c>
      <c r="R1151" s="8" t="s">
        <v>840</v>
      </c>
      <c r="S1151" s="8" t="s">
        <v>404</v>
      </c>
      <c r="T1151" s="8"/>
      <c r="U1151" s="8" t="s">
        <v>268</v>
      </c>
      <c r="V1151" s="8" t="s">
        <v>405</v>
      </c>
      <c r="W1151" s="8" t="s">
        <v>306</v>
      </c>
      <c r="X1151" s="8" t="s">
        <v>102</v>
      </c>
      <c r="Y1151" s="8" t="s">
        <v>23</v>
      </c>
    </row>
    <row r="1152" spans="1:25" hidden="1" x14ac:dyDescent="0.25">
      <c r="A1152" s="283" t="s">
        <v>725</v>
      </c>
      <c r="B1152" s="260">
        <v>45818</v>
      </c>
      <c r="C1152" s="261" t="s">
        <v>571</v>
      </c>
      <c r="D1152" s="261"/>
      <c r="E1152" s="262">
        <v>121</v>
      </c>
      <c r="F1152" s="262">
        <v>0</v>
      </c>
      <c r="G1152" s="285">
        <f>Tabla3[[#This Row],[INGRESOS]]-Tabla3[[#This Row],[EGRESOS]]</f>
        <v>-121</v>
      </c>
      <c r="H1152" s="285">
        <v>13526675.630000001</v>
      </c>
      <c r="I1152" s="135">
        <v>1170</v>
      </c>
      <c r="J1152" s="136">
        <f>Tabla3[[#This Row],[EGRESOS]]/Tabla3[[#This Row],[TC]]</f>
        <v>0.10341880341880341</v>
      </c>
      <c r="K1152" s="136">
        <f>Tabla3[[#This Row],[INGRESOS]]/Tabla3[[#This Row],[TC]]</f>
        <v>0</v>
      </c>
      <c r="L1152" s="8" t="s">
        <v>303</v>
      </c>
      <c r="M1152" s="8" t="s">
        <v>304</v>
      </c>
      <c r="N1152" s="8" t="s">
        <v>20</v>
      </c>
      <c r="O1152" s="8" t="s">
        <v>184</v>
      </c>
      <c r="P1152" s="8" t="s">
        <v>185</v>
      </c>
      <c r="Q1152" s="8" t="s">
        <v>186</v>
      </c>
      <c r="R1152" s="8"/>
      <c r="S1152" s="8"/>
      <c r="T1152" s="8"/>
      <c r="U1152" s="8" t="s">
        <v>261</v>
      </c>
      <c r="V1152" s="8"/>
      <c r="W1152" s="8" t="s">
        <v>306</v>
      </c>
      <c r="X1152" s="8" t="s">
        <v>98</v>
      </c>
      <c r="Y1152" s="8" t="s">
        <v>23</v>
      </c>
    </row>
    <row r="1153" spans="1:25" hidden="1" x14ac:dyDescent="0.25">
      <c r="A1153" s="283" t="s">
        <v>725</v>
      </c>
      <c r="B1153" s="260">
        <v>45818</v>
      </c>
      <c r="C1153" s="261" t="s">
        <v>542</v>
      </c>
      <c r="D1153" s="261"/>
      <c r="E1153" s="262">
        <v>500000</v>
      </c>
      <c r="F1153" s="262">
        <v>0</v>
      </c>
      <c r="G1153" s="285">
        <f>Tabla3[[#This Row],[INGRESOS]]-Tabla3[[#This Row],[EGRESOS]]</f>
        <v>-500000</v>
      </c>
      <c r="H1153" s="285">
        <v>13026675.630000001</v>
      </c>
      <c r="I1153" s="135">
        <v>1170</v>
      </c>
      <c r="J1153" s="136">
        <f>Tabla3[[#This Row],[EGRESOS]]/Tabla3[[#This Row],[TC]]</f>
        <v>427.35042735042737</v>
      </c>
      <c r="K1153" s="136">
        <f>Tabla3[[#This Row],[INGRESOS]]/Tabla3[[#This Row],[TC]]</f>
        <v>0</v>
      </c>
      <c r="L1153" s="8" t="s">
        <v>303</v>
      </c>
      <c r="M1153" s="8" t="s">
        <v>304</v>
      </c>
      <c r="N1153" s="8" t="s">
        <v>20</v>
      </c>
      <c r="O1153" s="8" t="s">
        <v>184</v>
      </c>
      <c r="P1153" s="8" t="s">
        <v>194</v>
      </c>
      <c r="Q1153" s="8" t="s">
        <v>196</v>
      </c>
      <c r="R1153" s="8" t="s">
        <v>226</v>
      </c>
      <c r="S1153" s="8" t="s">
        <v>311</v>
      </c>
      <c r="T1153" s="8"/>
      <c r="U1153" s="8" t="s">
        <v>277</v>
      </c>
      <c r="V1153" s="8" t="s">
        <v>311</v>
      </c>
      <c r="W1153" s="8" t="s">
        <v>306</v>
      </c>
      <c r="X1153" s="8" t="s">
        <v>103</v>
      </c>
      <c r="Y1153" s="8" t="s">
        <v>23</v>
      </c>
    </row>
    <row r="1154" spans="1:25" hidden="1" x14ac:dyDescent="0.25">
      <c r="A1154" s="283" t="s">
        <v>725</v>
      </c>
      <c r="B1154" s="260">
        <v>45818</v>
      </c>
      <c r="C1154" s="261" t="s">
        <v>571</v>
      </c>
      <c r="D1154" s="261"/>
      <c r="E1154" s="262">
        <v>121</v>
      </c>
      <c r="F1154" s="262">
        <v>0</v>
      </c>
      <c r="G1154" s="285">
        <f>Tabla3[[#This Row],[INGRESOS]]-Tabla3[[#This Row],[EGRESOS]]</f>
        <v>-121</v>
      </c>
      <c r="H1154" s="285">
        <v>13026554.630000001</v>
      </c>
      <c r="I1154" s="135">
        <v>1170</v>
      </c>
      <c r="J1154" s="136">
        <f>Tabla3[[#This Row],[EGRESOS]]/Tabla3[[#This Row],[TC]]</f>
        <v>0.10341880341880341</v>
      </c>
      <c r="K1154" s="136">
        <f>Tabla3[[#This Row],[INGRESOS]]/Tabla3[[#This Row],[TC]]</f>
        <v>0</v>
      </c>
      <c r="L1154" s="8" t="s">
        <v>303</v>
      </c>
      <c r="M1154" s="8" t="s">
        <v>304</v>
      </c>
      <c r="N1154" s="8" t="s">
        <v>20</v>
      </c>
      <c r="O1154" s="8" t="s">
        <v>184</v>
      </c>
      <c r="P1154" s="8" t="s">
        <v>185</v>
      </c>
      <c r="Q1154" s="8" t="s">
        <v>186</v>
      </c>
      <c r="R1154" s="8"/>
      <c r="S1154" s="8"/>
      <c r="T1154" s="8"/>
      <c r="U1154" s="8" t="s">
        <v>261</v>
      </c>
      <c r="V1154" s="8"/>
      <c r="W1154" s="8" t="s">
        <v>306</v>
      </c>
      <c r="X1154" s="8" t="s">
        <v>98</v>
      </c>
      <c r="Y1154" s="8" t="s">
        <v>23</v>
      </c>
    </row>
    <row r="1155" spans="1:25" hidden="1" x14ac:dyDescent="0.25">
      <c r="A1155" s="283" t="s">
        <v>725</v>
      </c>
      <c r="B1155" s="260">
        <v>45818</v>
      </c>
      <c r="C1155" s="261" t="s">
        <v>542</v>
      </c>
      <c r="D1155" s="261"/>
      <c r="E1155" s="262">
        <v>200000</v>
      </c>
      <c r="F1155" s="262">
        <v>0</v>
      </c>
      <c r="G1155" s="285">
        <f>Tabla3[[#This Row],[INGRESOS]]-Tabla3[[#This Row],[EGRESOS]]</f>
        <v>-200000</v>
      </c>
      <c r="H1155" s="285">
        <v>12826554.630000001</v>
      </c>
      <c r="I1155" s="135">
        <v>1170</v>
      </c>
      <c r="J1155" s="136">
        <f>Tabla3[[#This Row],[EGRESOS]]/Tabla3[[#This Row],[TC]]</f>
        <v>170.94017094017093</v>
      </c>
      <c r="K1155" s="136">
        <f>Tabla3[[#This Row],[INGRESOS]]/Tabla3[[#This Row],[TC]]</f>
        <v>0</v>
      </c>
      <c r="L1155" s="8" t="s">
        <v>303</v>
      </c>
      <c r="M1155" s="8" t="s">
        <v>304</v>
      </c>
      <c r="N1155" s="8" t="s">
        <v>20</v>
      </c>
      <c r="O1155" s="8" t="s">
        <v>184</v>
      </c>
      <c r="P1155" s="8" t="s">
        <v>191</v>
      </c>
      <c r="Q1155" s="8" t="s">
        <v>193</v>
      </c>
      <c r="R1155" s="8" t="s">
        <v>839</v>
      </c>
      <c r="S1155" s="8" t="s">
        <v>315</v>
      </c>
      <c r="T1155" s="8"/>
      <c r="U1155" s="8" t="s">
        <v>266</v>
      </c>
      <c r="V1155" s="8"/>
      <c r="W1155" s="8" t="s">
        <v>306</v>
      </c>
      <c r="X1155" s="8" t="s">
        <v>98</v>
      </c>
      <c r="Y1155" s="8" t="s">
        <v>23</v>
      </c>
    </row>
    <row r="1156" spans="1:25" hidden="1" x14ac:dyDescent="0.25">
      <c r="A1156" s="283" t="s">
        <v>725</v>
      </c>
      <c r="B1156" s="260">
        <v>45818</v>
      </c>
      <c r="C1156" s="261" t="s">
        <v>637</v>
      </c>
      <c r="D1156" s="261"/>
      <c r="E1156" s="262">
        <v>30504.29</v>
      </c>
      <c r="F1156" s="262">
        <v>0</v>
      </c>
      <c r="G1156" s="285">
        <f>Tabla3[[#This Row],[INGRESOS]]-Tabla3[[#This Row],[EGRESOS]]</f>
        <v>-30504.29</v>
      </c>
      <c r="H1156" s="285">
        <v>12796050.34</v>
      </c>
      <c r="I1156" s="135">
        <v>1170</v>
      </c>
      <c r="J1156" s="136">
        <f>Tabla3[[#This Row],[EGRESOS]]/Tabla3[[#This Row],[TC]]</f>
        <v>26.072042735042736</v>
      </c>
      <c r="K1156" s="136">
        <f>Tabla3[[#This Row],[INGRESOS]]/Tabla3[[#This Row],[TC]]</f>
        <v>0</v>
      </c>
      <c r="L1156" s="8" t="s">
        <v>303</v>
      </c>
      <c r="M1156" s="8" t="s">
        <v>304</v>
      </c>
      <c r="N1156" s="8" t="s">
        <v>20</v>
      </c>
      <c r="O1156" s="8" t="s">
        <v>184</v>
      </c>
      <c r="P1156" s="8" t="s">
        <v>187</v>
      </c>
      <c r="Q1156" s="8" t="s">
        <v>188</v>
      </c>
      <c r="R1156" s="8" t="s">
        <v>317</v>
      </c>
      <c r="S1156" s="8"/>
      <c r="T1156" s="8"/>
      <c r="U1156" s="8" t="s">
        <v>261</v>
      </c>
      <c r="V1156" s="8"/>
      <c r="W1156" s="8" t="s">
        <v>306</v>
      </c>
      <c r="X1156" s="8" t="s">
        <v>98</v>
      </c>
      <c r="Y1156" s="8" t="s">
        <v>23</v>
      </c>
    </row>
    <row r="1157" spans="1:25" x14ac:dyDescent="0.25">
      <c r="A1157" s="283" t="s">
        <v>725</v>
      </c>
      <c r="B1157" s="260">
        <v>45819</v>
      </c>
      <c r="C1157" s="261" t="s">
        <v>521</v>
      </c>
      <c r="D1157" s="261" t="s">
        <v>838</v>
      </c>
      <c r="E1157" s="262">
        <v>991660.66</v>
      </c>
      <c r="F1157" s="262">
        <v>0</v>
      </c>
      <c r="G1157" s="285">
        <f>Tabla3[[#This Row],[INGRESOS]]-Tabla3[[#This Row],[EGRESOS]]</f>
        <v>-991660.66</v>
      </c>
      <c r="H1157" s="285">
        <v>11804389.68</v>
      </c>
      <c r="I1157" s="135">
        <v>1170</v>
      </c>
      <c r="J1157" s="136">
        <f>Tabla3[[#This Row],[EGRESOS]]/Tabla3[[#This Row],[TC]]</f>
        <v>847.57321367521365</v>
      </c>
      <c r="K1157" s="136">
        <f>Tabla3[[#This Row],[INGRESOS]]/Tabla3[[#This Row],[TC]]</f>
        <v>0</v>
      </c>
      <c r="L1157" s="8" t="s">
        <v>303</v>
      </c>
      <c r="M1157" s="8" t="s">
        <v>304</v>
      </c>
      <c r="N1157" s="8" t="s">
        <v>20</v>
      </c>
      <c r="O1157" s="8" t="s">
        <v>742</v>
      </c>
      <c r="P1157" s="8" t="s">
        <v>220</v>
      </c>
      <c r="Q1157" s="8" t="s">
        <v>231</v>
      </c>
      <c r="R1157" s="8" t="s">
        <v>142</v>
      </c>
      <c r="S1157" s="8" t="s">
        <v>588</v>
      </c>
      <c r="T1157" s="8" t="s">
        <v>842</v>
      </c>
      <c r="U1157" s="8" t="s">
        <v>258</v>
      </c>
      <c r="V1157" s="8"/>
      <c r="W1157" s="8" t="s">
        <v>306</v>
      </c>
      <c r="X1157" s="8" t="s">
        <v>29</v>
      </c>
      <c r="Y1157" s="8" t="s">
        <v>23</v>
      </c>
    </row>
    <row r="1158" spans="1:25" hidden="1" x14ac:dyDescent="0.25">
      <c r="A1158" s="283" t="s">
        <v>725</v>
      </c>
      <c r="B1158" s="260">
        <v>45819</v>
      </c>
      <c r="C1158" s="261" t="s">
        <v>571</v>
      </c>
      <c r="D1158" s="261"/>
      <c r="E1158" s="262">
        <v>121</v>
      </c>
      <c r="F1158" s="262">
        <v>0</v>
      </c>
      <c r="G1158" s="285">
        <f>Tabla3[[#This Row],[INGRESOS]]-Tabla3[[#This Row],[EGRESOS]]</f>
        <v>-121</v>
      </c>
      <c r="H1158" s="285">
        <v>11304268.68</v>
      </c>
      <c r="I1158" s="135">
        <v>1170</v>
      </c>
      <c r="J1158" s="136">
        <f>Tabla3[[#This Row],[EGRESOS]]/Tabla3[[#This Row],[TC]]</f>
        <v>0.10341880341880341</v>
      </c>
      <c r="K1158" s="136">
        <f>Tabla3[[#This Row],[INGRESOS]]/Tabla3[[#This Row],[TC]]</f>
        <v>0</v>
      </c>
      <c r="L1158" s="8" t="s">
        <v>303</v>
      </c>
      <c r="M1158" s="8" t="s">
        <v>304</v>
      </c>
      <c r="N1158" s="8" t="s">
        <v>20</v>
      </c>
      <c r="O1158" s="8" t="s">
        <v>184</v>
      </c>
      <c r="P1158" s="8" t="s">
        <v>185</v>
      </c>
      <c r="Q1158" s="8" t="s">
        <v>186</v>
      </c>
      <c r="R1158" s="8"/>
      <c r="S1158" s="8"/>
      <c r="T1158" s="8"/>
      <c r="U1158" s="8" t="s">
        <v>261</v>
      </c>
      <c r="V1158" s="8"/>
      <c r="W1158" s="8" t="s">
        <v>306</v>
      </c>
      <c r="X1158" s="8" t="s">
        <v>98</v>
      </c>
      <c r="Y1158" s="8" t="s">
        <v>23</v>
      </c>
    </row>
    <row r="1159" spans="1:25" hidden="1" x14ac:dyDescent="0.25">
      <c r="A1159" s="283" t="s">
        <v>725</v>
      </c>
      <c r="B1159" s="260">
        <v>45819</v>
      </c>
      <c r="C1159" s="261" t="s">
        <v>843</v>
      </c>
      <c r="D1159" s="261"/>
      <c r="E1159" s="262">
        <v>10000000</v>
      </c>
      <c r="F1159" s="262">
        <v>0</v>
      </c>
      <c r="G1159" s="285">
        <f>Tabla3[[#This Row],[INGRESOS]]-Tabla3[[#This Row],[EGRESOS]]</f>
        <v>-10000000</v>
      </c>
      <c r="H1159" s="285">
        <v>1304268.68</v>
      </c>
      <c r="I1159" s="135">
        <v>1170</v>
      </c>
      <c r="J1159" s="136">
        <f>Tabla3[[#This Row],[EGRESOS]]/Tabla3[[#This Row],[TC]]</f>
        <v>8547.0085470085469</v>
      </c>
      <c r="K1159" s="136">
        <f>Tabla3[[#This Row],[INGRESOS]]/Tabla3[[#This Row],[TC]]</f>
        <v>0</v>
      </c>
      <c r="L1159" s="8" t="s">
        <v>303</v>
      </c>
      <c r="M1159" s="8" t="s">
        <v>304</v>
      </c>
      <c r="N1159" s="8" t="s">
        <v>20</v>
      </c>
      <c r="O1159" s="8" t="s">
        <v>214</v>
      </c>
      <c r="P1159" s="8" t="s">
        <v>60</v>
      </c>
      <c r="Q1159" s="7" t="s">
        <v>844</v>
      </c>
      <c r="R1159" s="8" t="s">
        <v>845</v>
      </c>
      <c r="S1159" s="8" t="s">
        <v>846</v>
      </c>
      <c r="T1159" s="8"/>
      <c r="U1159" s="8" t="s">
        <v>847</v>
      </c>
      <c r="V1159" s="8"/>
      <c r="W1159" s="8" t="s">
        <v>306</v>
      </c>
      <c r="X1159" s="8" t="s">
        <v>60</v>
      </c>
      <c r="Y1159" s="8" t="s">
        <v>23</v>
      </c>
    </row>
    <row r="1160" spans="1:25" hidden="1" x14ac:dyDescent="0.25">
      <c r="A1160" s="283" t="s">
        <v>725</v>
      </c>
      <c r="B1160" s="260">
        <v>45819</v>
      </c>
      <c r="C1160" s="261" t="s">
        <v>637</v>
      </c>
      <c r="D1160" s="261"/>
      <c r="E1160" s="262">
        <v>8950.69</v>
      </c>
      <c r="F1160" s="262">
        <v>0</v>
      </c>
      <c r="G1160" s="285">
        <f>Tabla3[[#This Row],[INGRESOS]]-Tabla3[[#This Row],[EGRESOS]]</f>
        <v>-8950.69</v>
      </c>
      <c r="H1160" s="285">
        <v>1295317.99</v>
      </c>
      <c r="I1160" s="135">
        <v>1170</v>
      </c>
      <c r="J1160" s="136">
        <f>Tabla3[[#This Row],[EGRESOS]]/Tabla3[[#This Row],[TC]]</f>
        <v>7.6501623931623932</v>
      </c>
      <c r="K1160" s="136">
        <f>Tabla3[[#This Row],[INGRESOS]]/Tabla3[[#This Row],[TC]]</f>
        <v>0</v>
      </c>
      <c r="L1160" s="8" t="s">
        <v>303</v>
      </c>
      <c r="M1160" s="8" t="s">
        <v>304</v>
      </c>
      <c r="N1160" s="8" t="s">
        <v>20</v>
      </c>
      <c r="O1160" s="8" t="s">
        <v>184</v>
      </c>
      <c r="P1160" s="8" t="s">
        <v>187</v>
      </c>
      <c r="Q1160" s="8" t="s">
        <v>188</v>
      </c>
      <c r="R1160" s="8" t="s">
        <v>317</v>
      </c>
      <c r="S1160" s="8"/>
      <c r="T1160" s="8"/>
      <c r="U1160" s="8" t="s">
        <v>261</v>
      </c>
      <c r="V1160" s="8"/>
      <c r="W1160" s="8" t="s">
        <v>306</v>
      </c>
      <c r="X1160" s="8" t="s">
        <v>98</v>
      </c>
      <c r="Y1160" s="8" t="s">
        <v>23</v>
      </c>
    </row>
    <row r="1161" spans="1:25" hidden="1" x14ac:dyDescent="0.25">
      <c r="A1161" s="283" t="s">
        <v>725</v>
      </c>
      <c r="B1161" s="260">
        <v>45819</v>
      </c>
      <c r="C1161" s="261" t="s">
        <v>542</v>
      </c>
      <c r="D1161" s="261"/>
      <c r="E1161" s="262">
        <v>500000</v>
      </c>
      <c r="F1161" s="262">
        <v>0</v>
      </c>
      <c r="G1161" s="285">
        <f>Tabla3[[#This Row],[INGRESOS]]-Tabla3[[#This Row],[EGRESOS]]</f>
        <v>-500000</v>
      </c>
      <c r="H1161" s="285">
        <v>11304389.68</v>
      </c>
      <c r="I1161" s="135">
        <v>1170</v>
      </c>
      <c r="J1161" s="136">
        <f>Tabla3[[#This Row],[EGRESOS]]/Tabla3[[#This Row],[TC]]</f>
        <v>427.35042735042737</v>
      </c>
      <c r="K1161" s="136">
        <f>Tabla3[[#This Row],[INGRESOS]]/Tabla3[[#This Row],[TC]]</f>
        <v>0</v>
      </c>
      <c r="L1161" s="8" t="s">
        <v>303</v>
      </c>
      <c r="M1161" s="8" t="s">
        <v>304</v>
      </c>
      <c r="N1161" s="8" t="s">
        <v>20</v>
      </c>
      <c r="O1161" s="8" t="s">
        <v>184</v>
      </c>
      <c r="P1161" s="8" t="s">
        <v>194</v>
      </c>
      <c r="Q1161" s="8" t="s">
        <v>196</v>
      </c>
      <c r="R1161" s="8" t="s">
        <v>888</v>
      </c>
      <c r="S1161" s="8" t="s">
        <v>331</v>
      </c>
      <c r="T1161" s="8"/>
      <c r="U1161" s="8" t="s">
        <v>267</v>
      </c>
      <c r="V1161" s="8" t="s">
        <v>332</v>
      </c>
      <c r="W1161" s="8" t="s">
        <v>306</v>
      </c>
      <c r="X1161" s="8" t="s">
        <v>101</v>
      </c>
      <c r="Y1161" s="8" t="s">
        <v>23</v>
      </c>
    </row>
    <row r="1162" spans="1:25" hidden="1" x14ac:dyDescent="0.25">
      <c r="A1162" s="283" t="s">
        <v>725</v>
      </c>
      <c r="B1162" s="260">
        <v>45820</v>
      </c>
      <c r="C1162" s="261" t="s">
        <v>688</v>
      </c>
      <c r="D1162" s="261"/>
      <c r="E1162" s="262">
        <v>0</v>
      </c>
      <c r="F1162" s="262">
        <v>41315677.57</v>
      </c>
      <c r="G1162" s="285">
        <f>Tabla3[[#This Row],[INGRESOS]]-Tabla3[[#This Row],[EGRESOS]]</f>
        <v>41315677.57</v>
      </c>
      <c r="H1162" s="285">
        <v>42610995.560000002</v>
      </c>
      <c r="I1162" s="135">
        <v>1170</v>
      </c>
      <c r="J1162" s="136">
        <f>Tabla3[[#This Row],[EGRESOS]]/Tabla3[[#This Row],[TC]]</f>
        <v>0</v>
      </c>
      <c r="K1162" s="136">
        <f>Tabla3[[#This Row],[INGRESOS]]/Tabla3[[#This Row],[TC]]</f>
        <v>35312.544931623932</v>
      </c>
      <c r="L1162" s="8" t="s">
        <v>303</v>
      </c>
      <c r="M1162" s="8" t="s">
        <v>304</v>
      </c>
      <c r="N1162" s="8" t="s">
        <v>20</v>
      </c>
      <c r="O1162" s="8" t="s">
        <v>197</v>
      </c>
      <c r="P1162" s="8" t="s">
        <v>198</v>
      </c>
      <c r="Q1162" s="8" t="s">
        <v>201</v>
      </c>
      <c r="R1162" s="8" t="s">
        <v>681</v>
      </c>
      <c r="S1162" s="8" t="s">
        <v>689</v>
      </c>
      <c r="T1162" s="8"/>
      <c r="U1162" s="8" t="s">
        <v>269</v>
      </c>
      <c r="V1162" s="8"/>
      <c r="W1162" s="8" t="s">
        <v>306</v>
      </c>
      <c r="X1162" s="8" t="s">
        <v>23</v>
      </c>
      <c r="Y1162" s="8" t="s">
        <v>96</v>
      </c>
    </row>
    <row r="1163" spans="1:25" hidden="1" x14ac:dyDescent="0.25">
      <c r="A1163" s="283" t="s">
        <v>725</v>
      </c>
      <c r="B1163" s="260">
        <v>45820</v>
      </c>
      <c r="C1163" s="261" t="s">
        <v>323</v>
      </c>
      <c r="D1163" s="261"/>
      <c r="E1163" s="262">
        <v>10000000</v>
      </c>
      <c r="F1163" s="262">
        <v>0</v>
      </c>
      <c r="G1163" s="285">
        <f>Tabla3[[#This Row],[INGRESOS]]-Tabla3[[#This Row],[EGRESOS]]</f>
        <v>-10000000</v>
      </c>
      <c r="H1163" s="285">
        <v>32610995.559999999</v>
      </c>
      <c r="I1163" s="135">
        <v>1170</v>
      </c>
      <c r="J1163" s="136">
        <f>Tabla3[[#This Row],[EGRESOS]]/Tabla3[[#This Row],[TC]]</f>
        <v>8547.0085470085469</v>
      </c>
      <c r="K1163" s="136">
        <f>Tabla3[[#This Row],[INGRESOS]]/Tabla3[[#This Row],[TC]]</f>
        <v>0</v>
      </c>
      <c r="L1163" s="8" t="s">
        <v>303</v>
      </c>
      <c r="M1163" s="8" t="s">
        <v>304</v>
      </c>
      <c r="N1163" s="8" t="s">
        <v>20</v>
      </c>
      <c r="O1163" s="8" t="s">
        <v>214</v>
      </c>
      <c r="P1163" s="8" t="s">
        <v>216</v>
      </c>
      <c r="Q1163" s="8" t="s">
        <v>217</v>
      </c>
      <c r="R1163" s="8" t="s">
        <v>858</v>
      </c>
      <c r="S1163" s="8" t="s">
        <v>859</v>
      </c>
      <c r="T1163" s="8"/>
      <c r="U1163" s="8" t="s">
        <v>262</v>
      </c>
      <c r="V1163" s="8"/>
      <c r="W1163" s="8" t="s">
        <v>306</v>
      </c>
      <c r="X1163" s="8"/>
      <c r="Y1163" s="8"/>
    </row>
    <row r="1164" spans="1:25" hidden="1" x14ac:dyDescent="0.25">
      <c r="A1164" s="283" t="s">
        <v>725</v>
      </c>
      <c r="B1164" s="260">
        <v>45820</v>
      </c>
      <c r="C1164" s="261" t="s">
        <v>571</v>
      </c>
      <c r="D1164" s="261"/>
      <c r="E1164" s="262">
        <v>121</v>
      </c>
      <c r="F1164" s="262">
        <v>0</v>
      </c>
      <c r="G1164" s="285">
        <f>Tabla3[[#This Row],[INGRESOS]]-Tabla3[[#This Row],[EGRESOS]]</f>
        <v>-121</v>
      </c>
      <c r="H1164" s="285">
        <v>32610874.559999999</v>
      </c>
      <c r="I1164" s="135">
        <v>1170</v>
      </c>
      <c r="J1164" s="136">
        <f>Tabla3[[#This Row],[EGRESOS]]/Tabla3[[#This Row],[TC]]</f>
        <v>0.10341880341880341</v>
      </c>
      <c r="K1164" s="136">
        <f>Tabla3[[#This Row],[INGRESOS]]/Tabla3[[#This Row],[TC]]</f>
        <v>0</v>
      </c>
      <c r="L1164" s="8" t="s">
        <v>303</v>
      </c>
      <c r="M1164" s="8" t="s">
        <v>304</v>
      </c>
      <c r="N1164" s="8" t="s">
        <v>20</v>
      </c>
      <c r="O1164" s="8" t="s">
        <v>184</v>
      </c>
      <c r="P1164" s="8" t="s">
        <v>185</v>
      </c>
      <c r="Q1164" s="8" t="s">
        <v>186</v>
      </c>
      <c r="R1164" s="8"/>
      <c r="S1164" s="8"/>
      <c r="T1164" s="8"/>
      <c r="U1164" s="8" t="s">
        <v>261</v>
      </c>
      <c r="V1164" s="8"/>
      <c r="W1164" s="8" t="s">
        <v>306</v>
      </c>
      <c r="X1164" s="8" t="s">
        <v>98</v>
      </c>
      <c r="Y1164" s="8" t="s">
        <v>23</v>
      </c>
    </row>
    <row r="1165" spans="1:25" hidden="1" x14ac:dyDescent="0.25">
      <c r="A1165" s="283" t="s">
        <v>725</v>
      </c>
      <c r="B1165" s="260">
        <v>45820</v>
      </c>
      <c r="C1165" s="261" t="s">
        <v>323</v>
      </c>
      <c r="D1165" s="261"/>
      <c r="E1165" s="262">
        <v>7020000</v>
      </c>
      <c r="F1165" s="262">
        <v>0</v>
      </c>
      <c r="G1165" s="285">
        <f>Tabla3[[#This Row],[INGRESOS]]-Tabla3[[#This Row],[EGRESOS]]</f>
        <v>-7020000</v>
      </c>
      <c r="H1165" s="285">
        <v>25590874.559999999</v>
      </c>
      <c r="I1165" s="135">
        <v>1170</v>
      </c>
      <c r="J1165" s="136">
        <f>Tabla3[[#This Row],[EGRESOS]]/Tabla3[[#This Row],[TC]]</f>
        <v>6000</v>
      </c>
      <c r="K1165" s="136">
        <f>Tabla3[[#This Row],[INGRESOS]]/Tabla3[[#This Row],[TC]]</f>
        <v>0</v>
      </c>
      <c r="L1165" s="8" t="s">
        <v>303</v>
      </c>
      <c r="M1165" s="8" t="s">
        <v>304</v>
      </c>
      <c r="N1165" s="8" t="s">
        <v>20</v>
      </c>
      <c r="O1165" s="8" t="s">
        <v>214</v>
      </c>
      <c r="P1165" s="8" t="s">
        <v>216</v>
      </c>
      <c r="Q1165" s="8" t="s">
        <v>217</v>
      </c>
      <c r="R1165" s="8" t="s">
        <v>858</v>
      </c>
      <c r="S1165" s="8" t="s">
        <v>860</v>
      </c>
      <c r="T1165" s="8"/>
      <c r="U1165" s="8" t="s">
        <v>262</v>
      </c>
      <c r="V1165" s="8"/>
      <c r="W1165" s="8" t="s">
        <v>306</v>
      </c>
      <c r="X1165" s="8"/>
      <c r="Y1165" s="8"/>
    </row>
    <row r="1166" spans="1:25" hidden="1" x14ac:dyDescent="0.25">
      <c r="A1166" s="283" t="s">
        <v>725</v>
      </c>
      <c r="B1166" s="260">
        <v>45820</v>
      </c>
      <c r="C1166" s="261" t="s">
        <v>571</v>
      </c>
      <c r="D1166" s="261"/>
      <c r="E1166" s="262">
        <v>121</v>
      </c>
      <c r="F1166" s="262">
        <v>0</v>
      </c>
      <c r="G1166" s="285">
        <f>Tabla3[[#This Row],[INGRESOS]]-Tabla3[[#This Row],[EGRESOS]]</f>
        <v>-121</v>
      </c>
      <c r="H1166" s="285">
        <v>25590753.559999999</v>
      </c>
      <c r="I1166" s="135">
        <v>1170</v>
      </c>
      <c r="J1166" s="136">
        <f>Tabla3[[#This Row],[EGRESOS]]/Tabla3[[#This Row],[TC]]</f>
        <v>0.10341880341880341</v>
      </c>
      <c r="K1166" s="136">
        <f>Tabla3[[#This Row],[INGRESOS]]/Tabla3[[#This Row],[TC]]</f>
        <v>0</v>
      </c>
      <c r="L1166" s="8" t="s">
        <v>303</v>
      </c>
      <c r="M1166" s="8" t="s">
        <v>304</v>
      </c>
      <c r="N1166" s="8" t="s">
        <v>20</v>
      </c>
      <c r="O1166" s="8" t="s">
        <v>184</v>
      </c>
      <c r="P1166" s="8" t="s">
        <v>185</v>
      </c>
      <c r="Q1166" s="8" t="s">
        <v>186</v>
      </c>
      <c r="R1166" s="8"/>
      <c r="S1166" s="8"/>
      <c r="T1166" s="8"/>
      <c r="U1166" s="8" t="s">
        <v>261</v>
      </c>
      <c r="V1166" s="8"/>
      <c r="W1166" s="8" t="s">
        <v>306</v>
      </c>
      <c r="X1166" s="8" t="s">
        <v>98</v>
      </c>
      <c r="Y1166" s="8" t="s">
        <v>23</v>
      </c>
    </row>
    <row r="1167" spans="1:25" hidden="1" x14ac:dyDescent="0.25">
      <c r="A1167" s="283" t="s">
        <v>725</v>
      </c>
      <c r="B1167" s="260">
        <v>45820</v>
      </c>
      <c r="C1167" s="261" t="s">
        <v>323</v>
      </c>
      <c r="D1167" s="261"/>
      <c r="E1167" s="262">
        <v>3000000</v>
      </c>
      <c r="F1167" s="262">
        <v>0</v>
      </c>
      <c r="G1167" s="285">
        <f>Tabla3[[#This Row],[INGRESOS]]-Tabla3[[#This Row],[EGRESOS]]</f>
        <v>-3000000</v>
      </c>
      <c r="H1167" s="285">
        <v>22590753.559999999</v>
      </c>
      <c r="I1167" s="135">
        <v>1170</v>
      </c>
      <c r="J1167" s="136">
        <f>Tabla3[[#This Row],[EGRESOS]]/Tabla3[[#This Row],[TC]]</f>
        <v>2564.102564102564</v>
      </c>
      <c r="K1167" s="136">
        <f>Tabla3[[#This Row],[INGRESOS]]/Tabla3[[#This Row],[TC]]</f>
        <v>0</v>
      </c>
      <c r="L1167" s="8" t="s">
        <v>303</v>
      </c>
      <c r="M1167" s="8" t="s">
        <v>304</v>
      </c>
      <c r="N1167" s="8" t="s">
        <v>20</v>
      </c>
      <c r="O1167" s="8" t="s">
        <v>214</v>
      </c>
      <c r="P1167" s="8" t="s">
        <v>216</v>
      </c>
      <c r="Q1167" s="8" t="s">
        <v>217</v>
      </c>
      <c r="R1167" s="8" t="s">
        <v>858</v>
      </c>
      <c r="S1167" s="8" t="s">
        <v>861</v>
      </c>
      <c r="T1167" s="8"/>
      <c r="U1167" s="8" t="s">
        <v>262</v>
      </c>
      <c r="V1167" s="8"/>
      <c r="W1167" s="8" t="s">
        <v>306</v>
      </c>
      <c r="X1167" s="8"/>
      <c r="Y1167" s="8"/>
    </row>
    <row r="1168" spans="1:25" hidden="1" x14ac:dyDescent="0.25">
      <c r="A1168" s="283" t="s">
        <v>725</v>
      </c>
      <c r="B1168" s="260">
        <v>45820</v>
      </c>
      <c r="C1168" s="261" t="s">
        <v>571</v>
      </c>
      <c r="D1168" s="261"/>
      <c r="E1168" s="262">
        <v>121</v>
      </c>
      <c r="F1168" s="262">
        <v>0</v>
      </c>
      <c r="G1168" s="285">
        <f>Tabla3[[#This Row],[INGRESOS]]-Tabla3[[#This Row],[EGRESOS]]</f>
        <v>-121</v>
      </c>
      <c r="H1168" s="285">
        <v>22590632.559999999</v>
      </c>
      <c r="I1168" s="135">
        <v>1170</v>
      </c>
      <c r="J1168" s="136">
        <f>Tabla3[[#This Row],[EGRESOS]]/Tabla3[[#This Row],[TC]]</f>
        <v>0.10341880341880341</v>
      </c>
      <c r="K1168" s="136">
        <f>Tabla3[[#This Row],[INGRESOS]]/Tabla3[[#This Row],[TC]]</f>
        <v>0</v>
      </c>
      <c r="L1168" s="8" t="s">
        <v>303</v>
      </c>
      <c r="M1168" s="8" t="s">
        <v>304</v>
      </c>
      <c r="N1168" s="8" t="s">
        <v>20</v>
      </c>
      <c r="O1168" s="8" t="s">
        <v>184</v>
      </c>
      <c r="P1168" s="8" t="s">
        <v>185</v>
      </c>
      <c r="Q1168" s="8" t="s">
        <v>186</v>
      </c>
      <c r="R1168" s="8"/>
      <c r="S1168" s="8"/>
      <c r="T1168" s="8"/>
      <c r="U1168" s="8" t="s">
        <v>261</v>
      </c>
      <c r="V1168" s="8"/>
      <c r="W1168" s="8" t="s">
        <v>306</v>
      </c>
      <c r="X1168" s="8" t="s">
        <v>98</v>
      </c>
      <c r="Y1168" s="8" t="s">
        <v>23</v>
      </c>
    </row>
    <row r="1169" spans="1:25" x14ac:dyDescent="0.25">
      <c r="A1169" s="283" t="s">
        <v>725</v>
      </c>
      <c r="B1169" s="260">
        <v>45820</v>
      </c>
      <c r="C1169" s="261" t="s">
        <v>542</v>
      </c>
      <c r="D1169" s="261"/>
      <c r="E1169" s="262">
        <v>53892</v>
      </c>
      <c r="F1169" s="262">
        <v>0</v>
      </c>
      <c r="G1169" s="285">
        <f>Tabla3[[#This Row],[INGRESOS]]-Tabla3[[#This Row],[EGRESOS]]</f>
        <v>-53892</v>
      </c>
      <c r="H1169" s="285">
        <v>20467669.359999999</v>
      </c>
      <c r="I1169" s="135">
        <v>1170</v>
      </c>
      <c r="J1169" s="136">
        <f>Tabla3[[#This Row],[EGRESOS]]/Tabla3[[#This Row],[TC]]</f>
        <v>46.061538461538461</v>
      </c>
      <c r="K1169" s="136">
        <f>Tabla3[[#This Row],[INGRESOS]]/Tabla3[[#This Row],[TC]]</f>
        <v>0</v>
      </c>
      <c r="L1169" s="8" t="s">
        <v>303</v>
      </c>
      <c r="M1169" s="8" t="s">
        <v>304</v>
      </c>
      <c r="N1169" s="8" t="s">
        <v>20</v>
      </c>
      <c r="O1169" s="8" t="s">
        <v>742</v>
      </c>
      <c r="P1169" s="8" t="s">
        <v>220</v>
      </c>
      <c r="Q1169" s="8" t="s">
        <v>788</v>
      </c>
      <c r="R1169" s="8" t="s">
        <v>142</v>
      </c>
      <c r="S1169" s="8" t="s">
        <v>848</v>
      </c>
      <c r="T1169" s="8"/>
      <c r="U1169" s="8" t="s">
        <v>258</v>
      </c>
      <c r="V1169" s="8"/>
      <c r="W1169" s="8" t="s">
        <v>306</v>
      </c>
      <c r="X1169" s="8" t="s">
        <v>29</v>
      </c>
      <c r="Y1169" s="8" t="s">
        <v>23</v>
      </c>
    </row>
    <row r="1170" spans="1:25" hidden="1" x14ac:dyDescent="0.25">
      <c r="A1170" s="283" t="s">
        <v>725</v>
      </c>
      <c r="B1170" s="260">
        <v>45820</v>
      </c>
      <c r="C1170" s="261" t="s">
        <v>542</v>
      </c>
      <c r="D1170" s="261"/>
      <c r="E1170" s="262">
        <v>800000</v>
      </c>
      <c r="F1170" s="262">
        <v>0</v>
      </c>
      <c r="G1170" s="285">
        <f>Tabla3[[#This Row],[INGRESOS]]-Tabla3[[#This Row],[EGRESOS]]</f>
        <v>-800000</v>
      </c>
      <c r="H1170" s="285">
        <v>18344706.16</v>
      </c>
      <c r="I1170" s="135">
        <v>1170</v>
      </c>
      <c r="J1170" s="136">
        <f>Tabla3[[#This Row],[EGRESOS]]/Tabla3[[#This Row],[TC]]</f>
        <v>683.76068376068372</v>
      </c>
      <c r="K1170" s="136">
        <f>Tabla3[[#This Row],[INGRESOS]]/Tabla3[[#This Row],[TC]]</f>
        <v>0</v>
      </c>
      <c r="L1170" s="8" t="s">
        <v>303</v>
      </c>
      <c r="M1170" s="8" t="s">
        <v>304</v>
      </c>
      <c r="N1170" s="8" t="s">
        <v>20</v>
      </c>
      <c r="O1170" s="8" t="s">
        <v>184</v>
      </c>
      <c r="P1170" s="8" t="s">
        <v>191</v>
      </c>
      <c r="Q1170" s="8" t="s">
        <v>193</v>
      </c>
      <c r="R1170" s="8" t="s">
        <v>841</v>
      </c>
      <c r="S1170" s="8" t="s">
        <v>313</v>
      </c>
      <c r="T1170" s="8"/>
      <c r="U1170" s="8" t="s">
        <v>266</v>
      </c>
      <c r="V1170" s="8"/>
      <c r="W1170" s="8" t="s">
        <v>306</v>
      </c>
      <c r="X1170" s="8" t="s">
        <v>98</v>
      </c>
      <c r="Y1170" s="8" t="s">
        <v>23</v>
      </c>
    </row>
    <row r="1171" spans="1:25" hidden="1" x14ac:dyDescent="0.25">
      <c r="A1171" s="283" t="s">
        <v>725</v>
      </c>
      <c r="B1171" s="260">
        <v>45820</v>
      </c>
      <c r="C1171" s="261" t="s">
        <v>542</v>
      </c>
      <c r="D1171" s="261"/>
      <c r="E1171" s="262">
        <v>1269170</v>
      </c>
      <c r="F1171" s="262">
        <v>0</v>
      </c>
      <c r="G1171" s="285">
        <f>Tabla3[[#This Row],[INGRESOS]]-Tabla3[[#This Row],[EGRESOS]]</f>
        <v>-1269170</v>
      </c>
      <c r="H1171" s="285">
        <v>16221742.960000001</v>
      </c>
      <c r="I1171" s="135">
        <v>1170</v>
      </c>
      <c r="J1171" s="136">
        <f>Tabla3[[#This Row],[EGRESOS]]/Tabla3[[#This Row],[TC]]</f>
        <v>1084.7606837606838</v>
      </c>
      <c r="K1171" s="136">
        <f>Tabla3[[#This Row],[INGRESOS]]/Tabla3[[#This Row],[TC]]</f>
        <v>0</v>
      </c>
      <c r="L1171" s="8" t="s">
        <v>303</v>
      </c>
      <c r="M1171" s="8" t="s">
        <v>304</v>
      </c>
      <c r="N1171" s="8" t="s">
        <v>20</v>
      </c>
      <c r="O1171" s="8" t="s">
        <v>184</v>
      </c>
      <c r="P1171" s="8" t="s">
        <v>187</v>
      </c>
      <c r="Q1171" s="8" t="s">
        <v>188</v>
      </c>
      <c r="R1171" s="8" t="s">
        <v>862</v>
      </c>
      <c r="S1171" s="8" t="s">
        <v>68</v>
      </c>
      <c r="T1171" s="8"/>
      <c r="U1171" s="8" t="s">
        <v>265</v>
      </c>
      <c r="V1171" s="8"/>
      <c r="W1171" s="8" t="s">
        <v>306</v>
      </c>
      <c r="X1171" s="8" t="s">
        <v>98</v>
      </c>
      <c r="Y1171" s="8" t="s">
        <v>23</v>
      </c>
    </row>
    <row r="1172" spans="1:25" hidden="1" x14ac:dyDescent="0.25">
      <c r="A1172" s="283" t="s">
        <v>725</v>
      </c>
      <c r="B1172" s="260">
        <v>45820</v>
      </c>
      <c r="C1172" s="261" t="s">
        <v>571</v>
      </c>
      <c r="D1172" s="261"/>
      <c r="E1172" s="262">
        <v>121</v>
      </c>
      <c r="F1172" s="262">
        <v>0</v>
      </c>
      <c r="G1172" s="285">
        <f>Tabla3[[#This Row],[INGRESOS]]-Tabla3[[#This Row],[EGRESOS]]</f>
        <v>-121</v>
      </c>
      <c r="H1172" s="285">
        <v>20467548.359999999</v>
      </c>
      <c r="I1172" s="135">
        <v>1170</v>
      </c>
      <c r="J1172" s="136">
        <f>Tabla3[[#This Row],[EGRESOS]]/Tabla3[[#This Row],[TC]]</f>
        <v>0.10341880341880341</v>
      </c>
      <c r="K1172" s="136">
        <f>Tabla3[[#This Row],[INGRESOS]]/Tabla3[[#This Row],[TC]]</f>
        <v>0</v>
      </c>
      <c r="L1172" s="8" t="s">
        <v>303</v>
      </c>
      <c r="M1172" s="8" t="s">
        <v>304</v>
      </c>
      <c r="N1172" s="8" t="s">
        <v>20</v>
      </c>
      <c r="O1172" s="8" t="s">
        <v>184</v>
      </c>
      <c r="P1172" s="8" t="s">
        <v>185</v>
      </c>
      <c r="Q1172" s="8" t="s">
        <v>186</v>
      </c>
      <c r="R1172" s="8"/>
      <c r="S1172" s="8"/>
      <c r="T1172" s="8"/>
      <c r="U1172" s="8" t="s">
        <v>261</v>
      </c>
      <c r="V1172" s="8"/>
      <c r="W1172" s="8" t="s">
        <v>306</v>
      </c>
      <c r="X1172" s="8" t="s">
        <v>98</v>
      </c>
      <c r="Y1172" s="8" t="s">
        <v>23</v>
      </c>
    </row>
    <row r="1173" spans="1:25" hidden="1" x14ac:dyDescent="0.25">
      <c r="A1173" s="283" t="s">
        <v>725</v>
      </c>
      <c r="B1173" s="260">
        <v>45820</v>
      </c>
      <c r="C1173" s="261" t="s">
        <v>854</v>
      </c>
      <c r="D1173" s="261"/>
      <c r="E1173" s="262">
        <v>24634929.239999998</v>
      </c>
      <c r="F1173" s="262">
        <v>0</v>
      </c>
      <c r="G1173" s="285">
        <f>Tabla3[[#This Row],[INGRESOS]]-Tabla3[[#This Row],[EGRESOS]]</f>
        <v>-24634929.239999998</v>
      </c>
      <c r="H1173" s="285">
        <v>-4167380.88</v>
      </c>
      <c r="I1173" s="135">
        <v>1170</v>
      </c>
      <c r="J1173" s="136">
        <f>Tabla3[[#This Row],[EGRESOS]]/Tabla3[[#This Row],[TC]]</f>
        <v>21055.495076923075</v>
      </c>
      <c r="K1173" s="136">
        <f>Tabla3[[#This Row],[INGRESOS]]/Tabla3[[#This Row],[TC]]</f>
        <v>0</v>
      </c>
      <c r="L1173" s="8" t="s">
        <v>303</v>
      </c>
      <c r="M1173" s="8" t="s">
        <v>304</v>
      </c>
      <c r="N1173" s="8" t="s">
        <v>20</v>
      </c>
      <c r="O1173" s="8" t="s">
        <v>214</v>
      </c>
      <c r="P1173" s="8" t="s">
        <v>218</v>
      </c>
      <c r="Q1173" s="8" t="s">
        <v>1067</v>
      </c>
      <c r="R1173" s="8" t="s">
        <v>1068</v>
      </c>
      <c r="S1173" s="8"/>
      <c r="T1173" s="8"/>
      <c r="U1173" s="8" t="s">
        <v>264</v>
      </c>
      <c r="V1173" s="8"/>
      <c r="W1173" s="8" t="s">
        <v>306</v>
      </c>
      <c r="X1173" s="8" t="s">
        <v>84</v>
      </c>
      <c r="Y1173" s="8" t="s">
        <v>23</v>
      </c>
    </row>
    <row r="1174" spans="1:25" hidden="1" x14ac:dyDescent="0.25">
      <c r="A1174" s="283" t="s">
        <v>725</v>
      </c>
      <c r="B1174" s="260">
        <v>45820</v>
      </c>
      <c r="C1174" s="261" t="s">
        <v>637</v>
      </c>
      <c r="D1174" s="261"/>
      <c r="E1174" s="262">
        <v>247894.07</v>
      </c>
      <c r="F1174" s="262">
        <v>0</v>
      </c>
      <c r="G1174" s="285">
        <f>Tabla3[[#This Row],[INGRESOS]]-Tabla3[[#This Row],[EGRESOS]]</f>
        <v>-247894.07</v>
      </c>
      <c r="H1174" s="285">
        <v>-4415274.95</v>
      </c>
      <c r="I1174" s="135">
        <v>1170</v>
      </c>
      <c r="J1174" s="136">
        <f>Tabla3[[#This Row],[EGRESOS]]/Tabla3[[#This Row],[TC]]</f>
        <v>211.87527350427351</v>
      </c>
      <c r="K1174" s="136">
        <f>Tabla3[[#This Row],[INGRESOS]]/Tabla3[[#This Row],[TC]]</f>
        <v>0</v>
      </c>
      <c r="L1174" s="8" t="s">
        <v>303</v>
      </c>
      <c r="M1174" s="8" t="s">
        <v>304</v>
      </c>
      <c r="N1174" s="8" t="s">
        <v>20</v>
      </c>
      <c r="O1174" s="8" t="s">
        <v>184</v>
      </c>
      <c r="P1174" s="8" t="s">
        <v>187</v>
      </c>
      <c r="Q1174" s="8" t="s">
        <v>188</v>
      </c>
      <c r="R1174" s="8" t="s">
        <v>317</v>
      </c>
      <c r="S1174" s="8"/>
      <c r="T1174" s="8"/>
      <c r="U1174" s="8" t="s">
        <v>261</v>
      </c>
      <c r="V1174" s="8"/>
      <c r="W1174" s="8" t="s">
        <v>306</v>
      </c>
      <c r="X1174" s="8" t="s">
        <v>98</v>
      </c>
      <c r="Y1174" s="8" t="s">
        <v>23</v>
      </c>
    </row>
    <row r="1175" spans="1:25" hidden="1" x14ac:dyDescent="0.25">
      <c r="A1175" s="283" t="s">
        <v>725</v>
      </c>
      <c r="B1175" s="260">
        <v>45820</v>
      </c>
      <c r="C1175" s="261" t="s">
        <v>637</v>
      </c>
      <c r="D1175" s="261"/>
      <c r="E1175" s="262">
        <v>160550.28</v>
      </c>
      <c r="F1175" s="262">
        <v>0</v>
      </c>
      <c r="G1175" s="285">
        <f>Tabla3[[#This Row],[INGRESOS]]-Tabla3[[#This Row],[EGRESOS]]</f>
        <v>-160550.28</v>
      </c>
      <c r="H1175" s="285">
        <v>-4575825.2300000004</v>
      </c>
      <c r="I1175" s="135">
        <v>1170</v>
      </c>
      <c r="J1175" s="136">
        <f>Tabla3[[#This Row],[EGRESOS]]/Tabla3[[#This Row],[TC]]</f>
        <v>137.22246153846154</v>
      </c>
      <c r="K1175" s="136">
        <f>Tabla3[[#This Row],[INGRESOS]]/Tabla3[[#This Row],[TC]]</f>
        <v>0</v>
      </c>
      <c r="L1175" s="8" t="s">
        <v>303</v>
      </c>
      <c r="M1175" s="8" t="s">
        <v>304</v>
      </c>
      <c r="N1175" s="8" t="s">
        <v>20</v>
      </c>
      <c r="O1175" s="8" t="s">
        <v>184</v>
      </c>
      <c r="P1175" s="8" t="s">
        <v>187</v>
      </c>
      <c r="Q1175" s="8" t="s">
        <v>188</v>
      </c>
      <c r="R1175" s="8" t="s">
        <v>317</v>
      </c>
      <c r="S1175" s="8"/>
      <c r="T1175" s="8"/>
      <c r="U1175" s="8" t="s">
        <v>261</v>
      </c>
      <c r="V1175" s="8"/>
      <c r="W1175" s="8" t="s">
        <v>306</v>
      </c>
      <c r="X1175" s="8" t="s">
        <v>98</v>
      </c>
      <c r="Y1175" s="8" t="s">
        <v>23</v>
      </c>
    </row>
    <row r="1176" spans="1:25" x14ac:dyDescent="0.25">
      <c r="A1176" s="283" t="s">
        <v>725</v>
      </c>
      <c r="B1176" s="260">
        <v>45821</v>
      </c>
      <c r="C1176" s="261" t="s">
        <v>521</v>
      </c>
      <c r="D1176" s="261" t="s">
        <v>855</v>
      </c>
      <c r="E1176" s="262">
        <v>1995000</v>
      </c>
      <c r="F1176" s="262">
        <v>0</v>
      </c>
      <c r="G1176" s="285">
        <f>Tabla3[[#This Row],[INGRESOS]]-Tabla3[[#This Row],[EGRESOS]]</f>
        <v>-1995000</v>
      </c>
      <c r="H1176" s="285">
        <v>-6570825.2300000004</v>
      </c>
      <c r="I1176" s="135">
        <v>1170</v>
      </c>
      <c r="J1176" s="136">
        <f>Tabla3[[#This Row],[EGRESOS]]/Tabla3[[#This Row],[TC]]</f>
        <v>1705.1282051282051</v>
      </c>
      <c r="K1176" s="136">
        <f>Tabla3[[#This Row],[INGRESOS]]/Tabla3[[#This Row],[TC]]</f>
        <v>0</v>
      </c>
      <c r="L1176" s="8" t="s">
        <v>303</v>
      </c>
      <c r="M1176" s="8" t="s">
        <v>304</v>
      </c>
      <c r="N1176" s="8" t="s">
        <v>20</v>
      </c>
      <c r="O1176" s="8" t="s">
        <v>742</v>
      </c>
      <c r="P1176" s="8" t="s">
        <v>220</v>
      </c>
      <c r="Q1176" s="8" t="s">
        <v>231</v>
      </c>
      <c r="R1176" s="8" t="s">
        <v>142</v>
      </c>
      <c r="S1176" s="8" t="s">
        <v>588</v>
      </c>
      <c r="T1176" s="8" t="s">
        <v>857</v>
      </c>
      <c r="U1176" s="8" t="s">
        <v>258</v>
      </c>
      <c r="V1176" s="8"/>
      <c r="W1176" s="8" t="s">
        <v>306</v>
      </c>
      <c r="X1176" s="8" t="s">
        <v>29</v>
      </c>
      <c r="Y1176" s="8" t="s">
        <v>23</v>
      </c>
    </row>
    <row r="1177" spans="1:25" hidden="1" x14ac:dyDescent="0.25">
      <c r="A1177" s="283" t="s">
        <v>725</v>
      </c>
      <c r="B1177" s="260">
        <v>45821</v>
      </c>
      <c r="C1177" s="261" t="s">
        <v>853</v>
      </c>
      <c r="D1177" s="261"/>
      <c r="E1177" s="262">
        <v>0</v>
      </c>
      <c r="F1177" s="262">
        <v>10014765.58</v>
      </c>
      <c r="G1177" s="285">
        <f>Tabla3[[#This Row],[INGRESOS]]-Tabla3[[#This Row],[EGRESOS]]</f>
        <v>10014765.58</v>
      </c>
      <c r="H1177" s="285">
        <v>3443940.35</v>
      </c>
      <c r="I1177" s="135">
        <v>1170</v>
      </c>
      <c r="J1177" s="136">
        <f>Tabla3[[#This Row],[EGRESOS]]/Tabla3[[#This Row],[TC]]</f>
        <v>0</v>
      </c>
      <c r="K1177" s="136">
        <f>Tabla3[[#This Row],[INGRESOS]]/Tabla3[[#This Row],[TC]]</f>
        <v>8559.6287008547006</v>
      </c>
      <c r="L1177" s="8" t="s">
        <v>303</v>
      </c>
      <c r="M1177" s="8" t="s">
        <v>304</v>
      </c>
      <c r="N1177" s="8" t="s">
        <v>20</v>
      </c>
      <c r="O1177" s="8" t="s">
        <v>214</v>
      </c>
      <c r="P1177" s="8" t="s">
        <v>60</v>
      </c>
      <c r="Q1177" s="8" t="s">
        <v>856</v>
      </c>
      <c r="R1177" s="8" t="s">
        <v>845</v>
      </c>
      <c r="S1177" s="8" t="s">
        <v>846</v>
      </c>
      <c r="T1177" s="8"/>
      <c r="U1177" s="8" t="s">
        <v>847</v>
      </c>
      <c r="V1177" s="8"/>
      <c r="W1177" s="8" t="s">
        <v>306</v>
      </c>
      <c r="X1177" s="8" t="s">
        <v>23</v>
      </c>
      <c r="Y1177" s="8" t="s">
        <v>60</v>
      </c>
    </row>
    <row r="1178" spans="1:25" s="7" customFormat="1" hidden="1" x14ac:dyDescent="0.25">
      <c r="A1178" s="283" t="s">
        <v>725</v>
      </c>
      <c r="B1178" s="260">
        <v>45821</v>
      </c>
      <c r="C1178" s="261" t="s">
        <v>542</v>
      </c>
      <c r="D1178" s="261"/>
      <c r="E1178" s="262">
        <v>560000</v>
      </c>
      <c r="F1178" s="262">
        <v>0</v>
      </c>
      <c r="G1178" s="285">
        <f>Tabla3[[#This Row],[INGRESOS]]-Tabla3[[#This Row],[EGRESOS]]</f>
        <v>-560000</v>
      </c>
      <c r="H1178" s="285">
        <v>2883940.35</v>
      </c>
      <c r="I1178" s="135">
        <v>1170</v>
      </c>
      <c r="J1178" s="136">
        <f>Tabla3[[#This Row],[EGRESOS]]/Tabla3[[#This Row],[TC]]</f>
        <v>478.63247863247864</v>
      </c>
      <c r="K1178" s="136">
        <f>Tabla3[[#This Row],[INGRESOS]]/Tabla3[[#This Row],[TC]]</f>
        <v>0</v>
      </c>
      <c r="L1178" s="8" t="s">
        <v>303</v>
      </c>
      <c r="M1178" s="8" t="s">
        <v>304</v>
      </c>
      <c r="N1178" s="8" t="s">
        <v>20</v>
      </c>
      <c r="O1178" s="8" t="s">
        <v>184</v>
      </c>
      <c r="P1178" s="8" t="s">
        <v>237</v>
      </c>
      <c r="Q1178" s="8" t="s">
        <v>804</v>
      </c>
      <c r="R1178" s="8" t="s">
        <v>871</v>
      </c>
      <c r="S1178" s="8" t="s">
        <v>365</v>
      </c>
      <c r="T1178" s="8"/>
      <c r="U1178" s="8" t="s">
        <v>273</v>
      </c>
      <c r="V1178" s="8"/>
      <c r="W1178" s="8" t="s">
        <v>306</v>
      </c>
      <c r="X1178" s="8" t="s">
        <v>45</v>
      </c>
      <c r="Y1178" s="8" t="s">
        <v>23</v>
      </c>
    </row>
    <row r="1179" spans="1:25" s="7" customFormat="1" hidden="1" x14ac:dyDescent="0.25">
      <c r="A1179" s="283" t="s">
        <v>725</v>
      </c>
      <c r="B1179" s="260">
        <v>45821</v>
      </c>
      <c r="C1179" s="261" t="s">
        <v>571</v>
      </c>
      <c r="D1179" s="261"/>
      <c r="E1179" s="262">
        <v>121</v>
      </c>
      <c r="F1179" s="262">
        <v>0</v>
      </c>
      <c r="G1179" s="285">
        <f>Tabla3[[#This Row],[INGRESOS]]-Tabla3[[#This Row],[EGRESOS]]</f>
        <v>-121</v>
      </c>
      <c r="H1179" s="285">
        <v>2883819.35</v>
      </c>
      <c r="I1179" s="135">
        <v>1170</v>
      </c>
      <c r="J1179" s="136">
        <f>Tabla3[[#This Row],[EGRESOS]]/Tabla3[[#This Row],[TC]]</f>
        <v>0.10341880341880341</v>
      </c>
      <c r="K1179" s="136">
        <f>Tabla3[[#This Row],[INGRESOS]]/Tabla3[[#This Row],[TC]]</f>
        <v>0</v>
      </c>
      <c r="L1179" s="8" t="s">
        <v>303</v>
      </c>
      <c r="M1179" s="8" t="s">
        <v>304</v>
      </c>
      <c r="N1179" s="8" t="s">
        <v>20</v>
      </c>
      <c r="O1179" s="8" t="s">
        <v>184</v>
      </c>
      <c r="P1179" s="8" t="s">
        <v>185</v>
      </c>
      <c r="Q1179" s="8" t="s">
        <v>186</v>
      </c>
      <c r="R1179" s="8"/>
      <c r="S1179" s="8"/>
      <c r="T1179" s="8"/>
      <c r="U1179" s="8" t="s">
        <v>261</v>
      </c>
      <c r="V1179" s="8"/>
      <c r="W1179" s="8" t="s">
        <v>306</v>
      </c>
      <c r="X1179" s="8" t="s">
        <v>98</v>
      </c>
      <c r="Y1179" s="8" t="s">
        <v>23</v>
      </c>
    </row>
    <row r="1180" spans="1:25" s="7" customFormat="1" hidden="1" x14ac:dyDescent="0.25">
      <c r="A1180" s="283" t="s">
        <v>725</v>
      </c>
      <c r="B1180" s="260">
        <v>45821</v>
      </c>
      <c r="C1180" s="261" t="s">
        <v>323</v>
      </c>
      <c r="D1180" s="261"/>
      <c r="E1180" s="262">
        <v>2000000</v>
      </c>
      <c r="F1180" s="262">
        <v>0</v>
      </c>
      <c r="G1180" s="285">
        <f>Tabla3[[#This Row],[INGRESOS]]-Tabla3[[#This Row],[EGRESOS]]</f>
        <v>-2000000</v>
      </c>
      <c r="H1180" s="285">
        <v>883819.35</v>
      </c>
      <c r="I1180" s="135">
        <v>1170</v>
      </c>
      <c r="J1180" s="136">
        <f>Tabla3[[#This Row],[EGRESOS]]/Tabla3[[#This Row],[TC]]</f>
        <v>1709.4017094017095</v>
      </c>
      <c r="K1180" s="136">
        <f>Tabla3[[#This Row],[INGRESOS]]/Tabla3[[#This Row],[TC]]</f>
        <v>0</v>
      </c>
      <c r="L1180" s="8" t="s">
        <v>303</v>
      </c>
      <c r="M1180" s="8" t="s">
        <v>304</v>
      </c>
      <c r="N1180" s="8" t="s">
        <v>20</v>
      </c>
      <c r="O1180" s="8" t="s">
        <v>214</v>
      </c>
      <c r="P1180" s="8" t="s">
        <v>216</v>
      </c>
      <c r="Q1180" s="8" t="s">
        <v>217</v>
      </c>
      <c r="R1180" s="8" t="s">
        <v>883</v>
      </c>
      <c r="S1180" s="8"/>
      <c r="T1180" s="8"/>
      <c r="U1180" s="8" t="s">
        <v>262</v>
      </c>
      <c r="V1180" s="8"/>
      <c r="W1180" s="8" t="s">
        <v>306</v>
      </c>
      <c r="X1180" s="8"/>
      <c r="Y1180" s="8"/>
    </row>
    <row r="1181" spans="1:25" s="7" customFormat="1" hidden="1" x14ac:dyDescent="0.25">
      <c r="A1181" s="283" t="s">
        <v>725</v>
      </c>
      <c r="B1181" s="260">
        <v>45821</v>
      </c>
      <c r="C1181" s="261" t="s">
        <v>571</v>
      </c>
      <c r="D1181" s="261"/>
      <c r="E1181" s="262">
        <v>121</v>
      </c>
      <c r="F1181" s="262">
        <v>0</v>
      </c>
      <c r="G1181" s="285">
        <f>Tabla3[[#This Row],[INGRESOS]]-Tabla3[[#This Row],[EGRESOS]]</f>
        <v>-121</v>
      </c>
      <c r="H1181" s="285">
        <v>883698.35</v>
      </c>
      <c r="I1181" s="135">
        <v>1170</v>
      </c>
      <c r="J1181" s="136">
        <f>Tabla3[[#This Row],[EGRESOS]]/Tabla3[[#This Row],[TC]]</f>
        <v>0.10341880341880341</v>
      </c>
      <c r="K1181" s="136">
        <f>Tabla3[[#This Row],[INGRESOS]]/Tabla3[[#This Row],[TC]]</f>
        <v>0</v>
      </c>
      <c r="L1181" s="8" t="s">
        <v>303</v>
      </c>
      <c r="M1181" s="8" t="s">
        <v>304</v>
      </c>
      <c r="N1181" s="8" t="s">
        <v>20</v>
      </c>
      <c r="O1181" s="8" t="s">
        <v>184</v>
      </c>
      <c r="P1181" s="8" t="s">
        <v>185</v>
      </c>
      <c r="Q1181" s="8" t="s">
        <v>186</v>
      </c>
      <c r="R1181" s="8"/>
      <c r="S1181" s="8"/>
      <c r="T1181" s="8"/>
      <c r="U1181" s="8" t="s">
        <v>261</v>
      </c>
      <c r="V1181" s="8"/>
      <c r="W1181" s="8" t="s">
        <v>306</v>
      </c>
      <c r="X1181" s="8" t="s">
        <v>98</v>
      </c>
      <c r="Y1181" s="8" t="s">
        <v>23</v>
      </c>
    </row>
    <row r="1182" spans="1:25" s="7" customFormat="1" hidden="1" x14ac:dyDescent="0.25">
      <c r="A1182" s="283" t="s">
        <v>725</v>
      </c>
      <c r="B1182" s="260">
        <v>45821</v>
      </c>
      <c r="C1182" s="261" t="s">
        <v>507</v>
      </c>
      <c r="D1182" s="261"/>
      <c r="E1182" s="262">
        <v>3024</v>
      </c>
      <c r="F1182" s="262">
        <v>0</v>
      </c>
      <c r="G1182" s="285">
        <f>Tabla3[[#This Row],[INGRESOS]]-Tabla3[[#This Row],[EGRESOS]]</f>
        <v>-3024</v>
      </c>
      <c r="H1182" s="285">
        <v>880674.35</v>
      </c>
      <c r="I1182" s="135">
        <v>1170</v>
      </c>
      <c r="J1182" s="136">
        <f>Tabla3[[#This Row],[EGRESOS]]/Tabla3[[#This Row],[TC]]</f>
        <v>2.5846153846153848</v>
      </c>
      <c r="K1182" s="136">
        <f>Tabla3[[#This Row],[INGRESOS]]/Tabla3[[#This Row],[TC]]</f>
        <v>0</v>
      </c>
      <c r="L1182" s="8" t="s">
        <v>303</v>
      </c>
      <c r="M1182" s="8" t="s">
        <v>304</v>
      </c>
      <c r="N1182" s="8" t="s">
        <v>20</v>
      </c>
      <c r="O1182" s="8" t="s">
        <v>184</v>
      </c>
      <c r="P1182" s="8" t="s">
        <v>187</v>
      </c>
      <c r="Q1182" s="8" t="s">
        <v>188</v>
      </c>
      <c r="R1182" s="8" t="s">
        <v>308</v>
      </c>
      <c r="S1182" s="8"/>
      <c r="T1182" s="8"/>
      <c r="U1182" s="8" t="s">
        <v>261</v>
      </c>
      <c r="V1182" s="8"/>
      <c r="W1182" s="8" t="s">
        <v>306</v>
      </c>
      <c r="X1182" s="8" t="s">
        <v>98</v>
      </c>
      <c r="Y1182" s="8" t="s">
        <v>23</v>
      </c>
    </row>
    <row r="1183" spans="1:25" s="7" customFormat="1" hidden="1" x14ac:dyDescent="0.25">
      <c r="A1183" s="283" t="s">
        <v>725</v>
      </c>
      <c r="B1183" s="260">
        <v>45821</v>
      </c>
      <c r="C1183" s="261" t="s">
        <v>508</v>
      </c>
      <c r="D1183" s="261"/>
      <c r="E1183" s="262">
        <v>432</v>
      </c>
      <c r="F1183" s="262">
        <v>0</v>
      </c>
      <c r="G1183" s="285">
        <f>Tabla3[[#This Row],[INGRESOS]]-Tabla3[[#This Row],[EGRESOS]]</f>
        <v>-432</v>
      </c>
      <c r="H1183" s="285">
        <v>880242.35</v>
      </c>
      <c r="I1183" s="135">
        <v>1170</v>
      </c>
      <c r="J1183" s="136">
        <f>Tabla3[[#This Row],[EGRESOS]]/Tabla3[[#This Row],[TC]]</f>
        <v>0.36923076923076925</v>
      </c>
      <c r="K1183" s="136">
        <f>Tabla3[[#This Row],[INGRESOS]]/Tabla3[[#This Row],[TC]]</f>
        <v>0</v>
      </c>
      <c r="L1183" s="8" t="s">
        <v>303</v>
      </c>
      <c r="M1183" s="8" t="s">
        <v>304</v>
      </c>
      <c r="N1183" s="8" t="s">
        <v>20</v>
      </c>
      <c r="O1183" s="8" t="s">
        <v>184</v>
      </c>
      <c r="P1183" s="8" t="s">
        <v>187</v>
      </c>
      <c r="Q1183" s="8" t="s">
        <v>188</v>
      </c>
      <c r="R1183" s="8" t="s">
        <v>334</v>
      </c>
      <c r="S1183" s="8"/>
      <c r="T1183" s="8"/>
      <c r="U1183" s="8" t="s">
        <v>261</v>
      </c>
      <c r="V1183" s="8"/>
      <c r="W1183" s="8" t="s">
        <v>306</v>
      </c>
      <c r="X1183" s="8" t="s">
        <v>98</v>
      </c>
      <c r="Y1183" s="8" t="s">
        <v>23</v>
      </c>
    </row>
    <row r="1184" spans="1:25" s="7" customFormat="1" hidden="1" x14ac:dyDescent="0.25">
      <c r="A1184" s="283" t="s">
        <v>725</v>
      </c>
      <c r="B1184" s="260">
        <v>45821</v>
      </c>
      <c r="C1184" s="261" t="s">
        <v>536</v>
      </c>
      <c r="D1184" s="261"/>
      <c r="E1184" s="262">
        <v>14400</v>
      </c>
      <c r="F1184" s="262">
        <v>0</v>
      </c>
      <c r="G1184" s="285">
        <f>Tabla3[[#This Row],[INGRESOS]]-Tabla3[[#This Row],[EGRESOS]]</f>
        <v>-14400</v>
      </c>
      <c r="H1184" s="285">
        <v>865842.35</v>
      </c>
      <c r="I1184" s="135">
        <v>1170</v>
      </c>
      <c r="J1184" s="136">
        <f>Tabla3[[#This Row],[EGRESOS]]/Tabla3[[#This Row],[TC]]</f>
        <v>12.307692307692308</v>
      </c>
      <c r="K1184" s="136">
        <f>Tabla3[[#This Row],[INGRESOS]]/Tabla3[[#This Row],[TC]]</f>
        <v>0</v>
      </c>
      <c r="L1184" s="8" t="s">
        <v>303</v>
      </c>
      <c r="M1184" s="8" t="s">
        <v>304</v>
      </c>
      <c r="N1184" s="8" t="s">
        <v>20</v>
      </c>
      <c r="O1184" s="8" t="s">
        <v>184</v>
      </c>
      <c r="P1184" s="8" t="s">
        <v>185</v>
      </c>
      <c r="Q1184" s="8" t="s">
        <v>186</v>
      </c>
      <c r="R1184" s="8"/>
      <c r="S1184" s="8"/>
      <c r="T1184" s="8"/>
      <c r="U1184" s="8" t="s">
        <v>261</v>
      </c>
      <c r="V1184" s="8"/>
      <c r="W1184" s="8" t="s">
        <v>306</v>
      </c>
      <c r="X1184" s="8" t="s">
        <v>98</v>
      </c>
      <c r="Y1184" s="8" t="s">
        <v>23</v>
      </c>
    </row>
    <row r="1185" spans="1:25" s="7" customFormat="1" hidden="1" x14ac:dyDescent="0.25">
      <c r="A1185" s="283" t="s">
        <v>725</v>
      </c>
      <c r="B1185" s="260">
        <v>45821</v>
      </c>
      <c r="C1185" s="261" t="s">
        <v>637</v>
      </c>
      <c r="D1185" s="261"/>
      <c r="E1185" s="262">
        <v>15438.6</v>
      </c>
      <c r="F1185" s="262">
        <v>0</v>
      </c>
      <c r="G1185" s="285">
        <f>Tabla3[[#This Row],[INGRESOS]]-Tabla3[[#This Row],[EGRESOS]]</f>
        <v>-15438.6</v>
      </c>
      <c r="H1185" s="285">
        <v>850403.75</v>
      </c>
      <c r="I1185" s="135">
        <v>1170</v>
      </c>
      <c r="J1185" s="136">
        <f>Tabla3[[#This Row],[EGRESOS]]/Tabla3[[#This Row],[TC]]</f>
        <v>13.195384615384615</v>
      </c>
      <c r="K1185" s="136">
        <f>Tabla3[[#This Row],[INGRESOS]]/Tabla3[[#This Row],[TC]]</f>
        <v>0</v>
      </c>
      <c r="L1185" s="8" t="s">
        <v>303</v>
      </c>
      <c r="M1185" s="8" t="s">
        <v>304</v>
      </c>
      <c r="N1185" s="8" t="s">
        <v>20</v>
      </c>
      <c r="O1185" s="8" t="s">
        <v>184</v>
      </c>
      <c r="P1185" s="8" t="s">
        <v>187</v>
      </c>
      <c r="Q1185" s="8" t="s">
        <v>188</v>
      </c>
      <c r="R1185" s="8" t="s">
        <v>317</v>
      </c>
      <c r="S1185" s="8"/>
      <c r="T1185" s="8"/>
      <c r="U1185" s="8" t="s">
        <v>261</v>
      </c>
      <c r="V1185" s="8"/>
      <c r="W1185" s="8" t="s">
        <v>306</v>
      </c>
      <c r="X1185" s="8" t="s">
        <v>98</v>
      </c>
      <c r="Y1185" s="8" t="s">
        <v>23</v>
      </c>
    </row>
    <row r="1186" spans="1:25" s="7" customFormat="1" hidden="1" x14ac:dyDescent="0.25">
      <c r="A1186" s="283" t="s">
        <v>725</v>
      </c>
      <c r="B1186" s="260">
        <v>45826</v>
      </c>
      <c r="C1186" s="261" t="s">
        <v>521</v>
      </c>
      <c r="D1186" s="261" t="s">
        <v>872</v>
      </c>
      <c r="E1186" s="262">
        <v>1086667</v>
      </c>
      <c r="F1186" s="262">
        <v>0</v>
      </c>
      <c r="G1186" s="285">
        <f>Tabla3[[#This Row],[INGRESOS]]-Tabla3[[#This Row],[EGRESOS]]</f>
        <v>-1086667</v>
      </c>
      <c r="H1186" s="285">
        <v>-236263.25</v>
      </c>
      <c r="I1186" s="135">
        <v>1170</v>
      </c>
      <c r="J1186" s="136">
        <f>Tabla3[[#This Row],[EGRESOS]]/Tabla3[[#This Row],[TC]]</f>
        <v>928.77521367521365</v>
      </c>
      <c r="K1186" s="136">
        <f>Tabla3[[#This Row],[INGRESOS]]/Tabla3[[#This Row],[TC]]</f>
        <v>0</v>
      </c>
      <c r="L1186" s="8" t="s">
        <v>303</v>
      </c>
      <c r="M1186" s="8" t="s">
        <v>304</v>
      </c>
      <c r="N1186" s="8" t="s">
        <v>20</v>
      </c>
      <c r="O1186" s="8" t="s">
        <v>197</v>
      </c>
      <c r="P1186" s="8" t="s">
        <v>198</v>
      </c>
      <c r="Q1186" s="8" t="s">
        <v>201</v>
      </c>
      <c r="R1186" s="8" t="s">
        <v>736</v>
      </c>
      <c r="S1186" s="8" t="s">
        <v>876</v>
      </c>
      <c r="T1186" s="8"/>
      <c r="U1186" s="8" t="s">
        <v>258</v>
      </c>
      <c r="V1186" s="8"/>
      <c r="W1186" s="8" t="s">
        <v>306</v>
      </c>
      <c r="X1186" s="8" t="s">
        <v>29</v>
      </c>
      <c r="Y1186" s="8" t="s">
        <v>23</v>
      </c>
    </row>
    <row r="1187" spans="1:25" s="7" customFormat="1" hidden="1" x14ac:dyDescent="0.25">
      <c r="A1187" s="283" t="s">
        <v>725</v>
      </c>
      <c r="B1187" s="260">
        <v>45826</v>
      </c>
      <c r="C1187" s="261" t="s">
        <v>521</v>
      </c>
      <c r="D1187" s="261" t="s">
        <v>873</v>
      </c>
      <c r="E1187" s="262">
        <v>1253833.94</v>
      </c>
      <c r="F1187" s="262">
        <v>0</v>
      </c>
      <c r="G1187" s="285">
        <f>Tabla3[[#This Row],[INGRESOS]]-Tabla3[[#This Row],[EGRESOS]]</f>
        <v>-1253833.94</v>
      </c>
      <c r="H1187" s="285">
        <v>-1490097.19</v>
      </c>
      <c r="I1187" s="135">
        <v>1170</v>
      </c>
      <c r="J1187" s="136">
        <f>Tabla3[[#This Row],[EGRESOS]]/Tabla3[[#This Row],[TC]]</f>
        <v>1071.6529401709402</v>
      </c>
      <c r="K1187" s="136">
        <f>Tabla3[[#This Row],[INGRESOS]]/Tabla3[[#This Row],[TC]]</f>
        <v>0</v>
      </c>
      <c r="L1187" s="8" t="s">
        <v>303</v>
      </c>
      <c r="M1187" s="8" t="s">
        <v>304</v>
      </c>
      <c r="N1187" s="8" t="s">
        <v>20</v>
      </c>
      <c r="O1187" s="8" t="s">
        <v>197</v>
      </c>
      <c r="P1187" s="8" t="s">
        <v>238</v>
      </c>
      <c r="Q1187" s="8" t="s">
        <v>239</v>
      </c>
      <c r="R1187" s="8" t="s">
        <v>501</v>
      </c>
      <c r="S1187" s="8" t="s">
        <v>502</v>
      </c>
      <c r="T1187" s="8" t="s">
        <v>834</v>
      </c>
      <c r="U1187" s="8" t="s">
        <v>258</v>
      </c>
      <c r="V1187" s="8"/>
      <c r="W1187" s="8" t="s">
        <v>306</v>
      </c>
      <c r="X1187" s="8" t="s">
        <v>41</v>
      </c>
      <c r="Y1187" s="8" t="s">
        <v>23</v>
      </c>
    </row>
    <row r="1188" spans="1:25" s="7" customFormat="1" x14ac:dyDescent="0.25">
      <c r="A1188" s="283" t="s">
        <v>725</v>
      </c>
      <c r="B1188" s="260">
        <v>45826</v>
      </c>
      <c r="C1188" s="261" t="s">
        <v>561</v>
      </c>
      <c r="D1188" s="261" t="s">
        <v>874</v>
      </c>
      <c r="E1188" s="262">
        <v>1995000</v>
      </c>
      <c r="F1188" s="262">
        <v>0</v>
      </c>
      <c r="G1188" s="285">
        <f>Tabla3[[#This Row],[INGRESOS]]-Tabla3[[#This Row],[EGRESOS]]</f>
        <v>-1995000</v>
      </c>
      <c r="H1188" s="285">
        <v>-3485097.19</v>
      </c>
      <c r="I1188" s="135">
        <v>1170</v>
      </c>
      <c r="J1188" s="136">
        <f>Tabla3[[#This Row],[EGRESOS]]/Tabla3[[#This Row],[TC]]</f>
        <v>1705.1282051282051</v>
      </c>
      <c r="K1188" s="136">
        <f>Tabla3[[#This Row],[INGRESOS]]/Tabla3[[#This Row],[TC]]</f>
        <v>0</v>
      </c>
      <c r="L1188" s="8" t="s">
        <v>303</v>
      </c>
      <c r="M1188" s="8" t="s">
        <v>304</v>
      </c>
      <c r="N1188" s="8" t="s">
        <v>20</v>
      </c>
      <c r="O1188" s="8" t="s">
        <v>742</v>
      </c>
      <c r="P1188" s="8" t="s">
        <v>220</v>
      </c>
      <c r="Q1188" s="8" t="s">
        <v>231</v>
      </c>
      <c r="R1188" s="8" t="s">
        <v>142</v>
      </c>
      <c r="S1188" s="8" t="s">
        <v>588</v>
      </c>
      <c r="T1188" s="8" t="s">
        <v>857</v>
      </c>
      <c r="U1188" s="8" t="s">
        <v>258</v>
      </c>
      <c r="V1188" s="8"/>
      <c r="W1188" s="8" t="s">
        <v>306</v>
      </c>
      <c r="X1188" s="8" t="s">
        <v>29</v>
      </c>
      <c r="Y1188" s="8" t="s">
        <v>23</v>
      </c>
    </row>
    <row r="1189" spans="1:25" s="7" customFormat="1" hidden="1" x14ac:dyDescent="0.25">
      <c r="A1189" s="283" t="s">
        <v>725</v>
      </c>
      <c r="B1189" s="260">
        <v>45826</v>
      </c>
      <c r="C1189" s="261" t="s">
        <v>561</v>
      </c>
      <c r="D1189" s="261" t="s">
        <v>875</v>
      </c>
      <c r="E1189" s="262">
        <v>3261546.52</v>
      </c>
      <c r="F1189" s="262">
        <v>0</v>
      </c>
      <c r="G1189" s="285">
        <f>Tabla3[[#This Row],[INGRESOS]]-Tabla3[[#This Row],[EGRESOS]]</f>
        <v>-3261546.52</v>
      </c>
      <c r="H1189" s="355">
        <v>-6746643.71</v>
      </c>
      <c r="I1189" s="135">
        <v>1170</v>
      </c>
      <c r="J1189" s="136">
        <f>Tabla3[[#This Row],[EGRESOS]]/Tabla3[[#This Row],[TC]]</f>
        <v>2787.6465982905984</v>
      </c>
      <c r="K1189" s="136">
        <f>Tabla3[[#This Row],[INGRESOS]]/Tabla3[[#This Row],[TC]]</f>
        <v>0</v>
      </c>
      <c r="L1189" s="8" t="s">
        <v>303</v>
      </c>
      <c r="M1189" s="8" t="s">
        <v>304</v>
      </c>
      <c r="N1189" s="8" t="s">
        <v>20</v>
      </c>
      <c r="O1189" s="8" t="s">
        <v>197</v>
      </c>
      <c r="P1189" s="8" t="s">
        <v>198</v>
      </c>
      <c r="Q1189" s="8" t="s">
        <v>201</v>
      </c>
      <c r="R1189" s="8" t="s">
        <v>227</v>
      </c>
      <c r="S1189" s="8" t="s">
        <v>877</v>
      </c>
      <c r="T1189" s="8"/>
      <c r="U1189" s="8" t="s">
        <v>258</v>
      </c>
      <c r="V1189" s="8"/>
      <c r="W1189" s="8" t="s">
        <v>306</v>
      </c>
      <c r="X1189" s="8" t="s">
        <v>98</v>
      </c>
      <c r="Y1189" s="8" t="s">
        <v>23</v>
      </c>
    </row>
    <row r="1190" spans="1:25" s="7" customFormat="1" hidden="1" x14ac:dyDescent="0.25">
      <c r="A1190" s="283" t="s">
        <v>725</v>
      </c>
      <c r="B1190" s="260">
        <v>45826</v>
      </c>
      <c r="C1190" s="261" t="s">
        <v>553</v>
      </c>
      <c r="D1190" s="261"/>
      <c r="E1190" s="262">
        <v>0</v>
      </c>
      <c r="F1190" s="262">
        <v>1000000</v>
      </c>
      <c r="G1190" s="285">
        <f>Tabla3[[#This Row],[INGRESOS]]-Tabla3[[#This Row],[EGRESOS]]</f>
        <v>1000000</v>
      </c>
      <c r="H1190" s="135">
        <v>-5746643.71</v>
      </c>
      <c r="I1190" s="135">
        <v>1170</v>
      </c>
      <c r="J1190" s="136">
        <f>Tabla3[[#This Row],[EGRESOS]]/Tabla3[[#This Row],[TC]]</f>
        <v>0</v>
      </c>
      <c r="K1190" s="136">
        <f>Tabla3[[#This Row],[INGRESOS]]/Tabla3[[#This Row],[TC]]</f>
        <v>854.70085470085473</v>
      </c>
      <c r="L1190" s="8" t="s">
        <v>303</v>
      </c>
      <c r="M1190" s="8" t="s">
        <v>304</v>
      </c>
      <c r="N1190" s="8" t="s">
        <v>20</v>
      </c>
      <c r="O1190" s="8" t="s">
        <v>214</v>
      </c>
      <c r="P1190" s="8" t="s">
        <v>216</v>
      </c>
      <c r="Q1190" s="8" t="s">
        <v>217</v>
      </c>
      <c r="R1190" s="8" t="s">
        <v>360</v>
      </c>
      <c r="S1190" s="8"/>
      <c r="T1190" s="8"/>
      <c r="U1190" s="8" t="s">
        <v>262</v>
      </c>
      <c r="V1190" s="8"/>
      <c r="W1190" s="8" t="s">
        <v>306</v>
      </c>
      <c r="X1190" s="8"/>
      <c r="Y1190" s="8"/>
    </row>
    <row r="1191" spans="1:25" s="7" customFormat="1" hidden="1" x14ac:dyDescent="0.25">
      <c r="A1191" s="283" t="s">
        <v>725</v>
      </c>
      <c r="B1191" s="260">
        <v>45826</v>
      </c>
      <c r="C1191" s="261" t="s">
        <v>637</v>
      </c>
      <c r="D1191" s="261"/>
      <c r="E1191" s="262">
        <v>45582.28</v>
      </c>
      <c r="F1191" s="262">
        <v>0</v>
      </c>
      <c r="G1191" s="285">
        <f>Tabla3[[#This Row],[INGRESOS]]-Tabla3[[#This Row],[EGRESOS]]</f>
        <v>-45582.28</v>
      </c>
      <c r="H1191" s="135">
        <v>-5792225.9900000002</v>
      </c>
      <c r="I1191" s="135">
        <v>1170</v>
      </c>
      <c r="J1191" s="136">
        <f>Tabla3[[#This Row],[EGRESOS]]/Tabla3[[#This Row],[TC]]</f>
        <v>38.959213675213675</v>
      </c>
      <c r="K1191" s="136">
        <f>Tabla3[[#This Row],[INGRESOS]]/Tabla3[[#This Row],[TC]]</f>
        <v>0</v>
      </c>
      <c r="L1191" s="8" t="s">
        <v>303</v>
      </c>
      <c r="M1191" s="8" t="s">
        <v>304</v>
      </c>
      <c r="N1191" s="8" t="s">
        <v>20</v>
      </c>
      <c r="O1191" s="8" t="s">
        <v>184</v>
      </c>
      <c r="P1191" s="8" t="s">
        <v>187</v>
      </c>
      <c r="Q1191" s="8" t="s">
        <v>188</v>
      </c>
      <c r="R1191" s="8" t="s">
        <v>317</v>
      </c>
      <c r="S1191" s="8"/>
      <c r="T1191" s="8"/>
      <c r="U1191" s="8" t="s">
        <v>261</v>
      </c>
      <c r="V1191" s="8"/>
      <c r="W1191" s="8" t="s">
        <v>306</v>
      </c>
      <c r="X1191" s="8" t="s">
        <v>98</v>
      </c>
      <c r="Y1191" s="8" t="s">
        <v>23</v>
      </c>
    </row>
    <row r="1192" spans="1:25" s="7" customFormat="1" hidden="1" x14ac:dyDescent="0.25">
      <c r="A1192" s="283" t="s">
        <v>725</v>
      </c>
      <c r="B1192" s="260">
        <v>45827</v>
      </c>
      <c r="C1192" s="261" t="s">
        <v>566</v>
      </c>
      <c r="D1192" s="261"/>
      <c r="E1192" s="262">
        <v>8067</v>
      </c>
      <c r="F1192" s="262">
        <v>0</v>
      </c>
      <c r="G1192" s="285">
        <f>Tabla3[[#This Row],[INGRESOS]]-Tabla3[[#This Row],[EGRESOS]]</f>
        <v>-8067</v>
      </c>
      <c r="H1192" s="135">
        <v>-5800292.9900000002</v>
      </c>
      <c r="I1192" s="135">
        <v>1170</v>
      </c>
      <c r="J1192" s="136">
        <f>Tabla3[[#This Row],[EGRESOS]]/Tabla3[[#This Row],[TC]]</f>
        <v>6.8948717948717952</v>
      </c>
      <c r="K1192" s="136">
        <f>Tabla3[[#This Row],[INGRESOS]]/Tabla3[[#This Row],[TC]]</f>
        <v>0</v>
      </c>
      <c r="L1192" s="8" t="s">
        <v>303</v>
      </c>
      <c r="M1192" s="8" t="s">
        <v>304</v>
      </c>
      <c r="N1192" s="8" t="s">
        <v>20</v>
      </c>
      <c r="O1192" s="8" t="s">
        <v>184</v>
      </c>
      <c r="P1192" s="8" t="s">
        <v>185</v>
      </c>
      <c r="Q1192" s="8" t="s">
        <v>227</v>
      </c>
      <c r="R1192" s="8"/>
      <c r="S1192" s="8"/>
      <c r="T1192" s="8"/>
      <c r="U1192" s="8" t="s">
        <v>261</v>
      </c>
      <c r="V1192" s="8"/>
      <c r="W1192" s="8" t="s">
        <v>306</v>
      </c>
      <c r="X1192" s="8" t="s">
        <v>98</v>
      </c>
      <c r="Y1192" s="8" t="s">
        <v>23</v>
      </c>
    </row>
    <row r="1193" spans="1:25" s="7" customFormat="1" hidden="1" x14ac:dyDescent="0.25">
      <c r="A1193" s="283" t="s">
        <v>725</v>
      </c>
      <c r="B1193" s="260">
        <v>45827</v>
      </c>
      <c r="C1193" s="261" t="s">
        <v>637</v>
      </c>
      <c r="D1193" s="261"/>
      <c r="E1193" s="262">
        <v>48.4</v>
      </c>
      <c r="F1193" s="262">
        <v>0</v>
      </c>
      <c r="G1193" s="285">
        <f>Tabla3[[#This Row],[INGRESOS]]-Tabla3[[#This Row],[EGRESOS]]</f>
        <v>-48.4</v>
      </c>
      <c r="H1193" s="135">
        <v>-5800341.3899999997</v>
      </c>
      <c r="I1193" s="135">
        <v>1170</v>
      </c>
      <c r="J1193" s="136">
        <f>Tabla3[[#This Row],[EGRESOS]]/Tabla3[[#This Row],[TC]]</f>
        <v>4.1367521367521365E-2</v>
      </c>
      <c r="K1193" s="136">
        <f>Tabla3[[#This Row],[INGRESOS]]/Tabla3[[#This Row],[TC]]</f>
        <v>0</v>
      </c>
      <c r="L1193" s="8" t="s">
        <v>303</v>
      </c>
      <c r="M1193" s="8" t="s">
        <v>304</v>
      </c>
      <c r="N1193" s="8" t="s">
        <v>20</v>
      </c>
      <c r="O1193" s="8" t="s">
        <v>184</v>
      </c>
      <c r="P1193" s="8" t="s">
        <v>187</v>
      </c>
      <c r="Q1193" s="8" t="s">
        <v>188</v>
      </c>
      <c r="R1193" s="8" t="s">
        <v>317</v>
      </c>
      <c r="S1193" s="8"/>
      <c r="T1193" s="8"/>
      <c r="U1193" s="8" t="s">
        <v>261</v>
      </c>
      <c r="V1193" s="8"/>
      <c r="W1193" s="8" t="s">
        <v>306</v>
      </c>
      <c r="X1193" s="8" t="s">
        <v>98</v>
      </c>
      <c r="Y1193" s="8" t="s">
        <v>23</v>
      </c>
    </row>
    <row r="1194" spans="1:25" s="7" customFormat="1" x14ac:dyDescent="0.25">
      <c r="A1194" s="283" t="s">
        <v>725</v>
      </c>
      <c r="B1194" s="260">
        <v>45832</v>
      </c>
      <c r="C1194" s="261" t="s">
        <v>521</v>
      </c>
      <c r="D1194" s="261" t="s">
        <v>893</v>
      </c>
      <c r="E1194" s="262">
        <v>424276.77</v>
      </c>
      <c r="F1194" s="262">
        <v>0</v>
      </c>
      <c r="G1194" s="285">
        <f>Tabla3[[#This Row],[INGRESOS]]-Tabla3[[#This Row],[EGRESOS]]</f>
        <v>-424276.77</v>
      </c>
      <c r="H1194" s="135">
        <v>-6224618.1600000001</v>
      </c>
      <c r="I1194" s="135">
        <v>1170</v>
      </c>
      <c r="J1194" s="136">
        <f>Tabla3[[#This Row],[EGRESOS]]/Tabla3[[#This Row],[TC]]</f>
        <v>362.62971794871794</v>
      </c>
      <c r="K1194" s="136">
        <f>Tabla3[[#This Row],[INGRESOS]]/Tabla3[[#This Row],[TC]]</f>
        <v>0</v>
      </c>
      <c r="L1194" s="8" t="s">
        <v>303</v>
      </c>
      <c r="M1194" s="8" t="s">
        <v>304</v>
      </c>
      <c r="N1194" s="8" t="s">
        <v>20</v>
      </c>
      <c r="O1194" s="8" t="s">
        <v>742</v>
      </c>
      <c r="P1194" s="8" t="s">
        <v>220</v>
      </c>
      <c r="Q1194" s="8" t="s">
        <v>222</v>
      </c>
      <c r="R1194" s="8" t="s">
        <v>142</v>
      </c>
      <c r="S1194" s="8" t="s">
        <v>472</v>
      </c>
      <c r="T1194" s="8" t="s">
        <v>896</v>
      </c>
      <c r="U1194" s="8" t="s">
        <v>258</v>
      </c>
      <c r="V1194" s="8"/>
      <c r="W1194" s="8" t="s">
        <v>306</v>
      </c>
      <c r="X1194" s="8" t="s">
        <v>29</v>
      </c>
      <c r="Y1194" s="8" t="s">
        <v>23</v>
      </c>
    </row>
    <row r="1195" spans="1:25" s="7" customFormat="1" hidden="1" x14ac:dyDescent="0.25">
      <c r="A1195" s="283" t="s">
        <v>725</v>
      </c>
      <c r="B1195" s="260">
        <v>45832</v>
      </c>
      <c r="C1195" s="261" t="s">
        <v>521</v>
      </c>
      <c r="D1195" s="261" t="s">
        <v>892</v>
      </c>
      <c r="E1195" s="262">
        <v>357951</v>
      </c>
      <c r="F1195" s="262">
        <v>0</v>
      </c>
      <c r="G1195" s="285">
        <f>Tabla3[[#This Row],[INGRESOS]]-Tabla3[[#This Row],[EGRESOS]]</f>
        <v>-357951</v>
      </c>
      <c r="H1195" s="135">
        <v>-6582569.1600000001</v>
      </c>
      <c r="I1195" s="135">
        <v>1170</v>
      </c>
      <c r="J1195" s="136">
        <f>Tabla3[[#This Row],[EGRESOS]]/Tabla3[[#This Row],[TC]]</f>
        <v>305.94102564102565</v>
      </c>
      <c r="K1195" s="136">
        <f>Tabla3[[#This Row],[INGRESOS]]/Tabla3[[#This Row],[TC]]</f>
        <v>0</v>
      </c>
      <c r="L1195" s="8" t="s">
        <v>303</v>
      </c>
      <c r="M1195" s="8" t="s">
        <v>304</v>
      </c>
      <c r="N1195" s="8" t="s">
        <v>20</v>
      </c>
      <c r="O1195" s="8" t="s">
        <v>204</v>
      </c>
      <c r="P1195" s="8" t="s">
        <v>210</v>
      </c>
      <c r="Q1195" s="8" t="s">
        <v>211</v>
      </c>
      <c r="R1195" s="8" t="s">
        <v>897</v>
      </c>
      <c r="S1195" s="8" t="s">
        <v>716</v>
      </c>
      <c r="T1195" s="8" t="s">
        <v>895</v>
      </c>
      <c r="U1195" s="8" t="s">
        <v>258</v>
      </c>
      <c r="V1195" s="8"/>
      <c r="W1195" s="8" t="s">
        <v>306</v>
      </c>
      <c r="X1195" s="8" t="s">
        <v>29</v>
      </c>
      <c r="Y1195" s="8" t="s">
        <v>23</v>
      </c>
    </row>
    <row r="1196" spans="1:25" s="7" customFormat="1" hidden="1" x14ac:dyDescent="0.25">
      <c r="A1196" s="283" t="s">
        <v>725</v>
      </c>
      <c r="B1196" s="260">
        <v>45832</v>
      </c>
      <c r="C1196" s="261" t="s">
        <v>521</v>
      </c>
      <c r="D1196" s="261" t="s">
        <v>891</v>
      </c>
      <c r="E1196" s="262">
        <v>1050280</v>
      </c>
      <c r="F1196" s="262">
        <v>0</v>
      </c>
      <c r="G1196" s="285">
        <f>Tabla3[[#This Row],[INGRESOS]]-Tabla3[[#This Row],[EGRESOS]]</f>
        <v>-1050280</v>
      </c>
      <c r="H1196" s="135">
        <v>-7632849.1600000001</v>
      </c>
      <c r="I1196" s="135">
        <v>1170</v>
      </c>
      <c r="J1196" s="136">
        <f>Tabla3[[#This Row],[EGRESOS]]/Tabla3[[#This Row],[TC]]</f>
        <v>897.67521367521363</v>
      </c>
      <c r="K1196" s="136">
        <f>Tabla3[[#This Row],[INGRESOS]]/Tabla3[[#This Row],[TC]]</f>
        <v>0</v>
      </c>
      <c r="L1196" s="8" t="s">
        <v>303</v>
      </c>
      <c r="M1196" s="8" t="s">
        <v>304</v>
      </c>
      <c r="N1196" s="8" t="s">
        <v>20</v>
      </c>
      <c r="O1196" s="8" t="s">
        <v>197</v>
      </c>
      <c r="P1196" s="8" t="s">
        <v>198</v>
      </c>
      <c r="Q1196" s="8" t="s">
        <v>200</v>
      </c>
      <c r="R1196" s="8" t="s">
        <v>899</v>
      </c>
      <c r="S1196" s="8" t="s">
        <v>898</v>
      </c>
      <c r="T1196" s="8"/>
      <c r="U1196" s="8" t="s">
        <v>258</v>
      </c>
      <c r="V1196" s="8"/>
      <c r="W1196" s="8" t="s">
        <v>306</v>
      </c>
      <c r="X1196" s="8" t="s">
        <v>29</v>
      </c>
      <c r="Y1196" s="8" t="s">
        <v>23</v>
      </c>
    </row>
    <row r="1197" spans="1:25" s="7" customFormat="1" x14ac:dyDescent="0.25">
      <c r="A1197" s="283" t="s">
        <v>725</v>
      </c>
      <c r="B1197" s="260">
        <v>45832</v>
      </c>
      <c r="C1197" s="261" t="s">
        <v>521</v>
      </c>
      <c r="D1197" s="261" t="s">
        <v>890</v>
      </c>
      <c r="E1197" s="262">
        <v>234000</v>
      </c>
      <c r="F1197" s="262">
        <v>0</v>
      </c>
      <c r="G1197" s="285">
        <f>Tabla3[[#This Row],[INGRESOS]]-Tabla3[[#This Row],[EGRESOS]]</f>
        <v>-234000</v>
      </c>
      <c r="H1197" s="135">
        <v>-7866849.1600000001</v>
      </c>
      <c r="I1197" s="135">
        <v>1170</v>
      </c>
      <c r="J1197" s="136">
        <f>Tabla3[[#This Row],[EGRESOS]]/Tabla3[[#This Row],[TC]]</f>
        <v>200</v>
      </c>
      <c r="K1197" s="136">
        <f>Tabla3[[#This Row],[INGRESOS]]/Tabla3[[#This Row],[TC]]</f>
        <v>0</v>
      </c>
      <c r="L1197" s="8" t="s">
        <v>303</v>
      </c>
      <c r="M1197" s="8" t="s">
        <v>304</v>
      </c>
      <c r="N1197" s="8" t="s">
        <v>20</v>
      </c>
      <c r="O1197" s="8" t="s">
        <v>742</v>
      </c>
      <c r="P1197" s="8" t="s">
        <v>220</v>
      </c>
      <c r="Q1197" s="8" t="s">
        <v>974</v>
      </c>
      <c r="R1197" s="8" t="s">
        <v>142</v>
      </c>
      <c r="S1197" s="8" t="s">
        <v>900</v>
      </c>
      <c r="T1197" s="8"/>
      <c r="U1197" s="8" t="s">
        <v>260</v>
      </c>
      <c r="V1197" s="8"/>
      <c r="W1197" s="8" t="s">
        <v>306</v>
      </c>
      <c r="X1197" s="8" t="s">
        <v>29</v>
      </c>
      <c r="Y1197" s="8" t="s">
        <v>23</v>
      </c>
    </row>
    <row r="1198" spans="1:25" s="7" customFormat="1" hidden="1" x14ac:dyDescent="0.25">
      <c r="A1198" s="283" t="s">
        <v>725</v>
      </c>
      <c r="B1198" s="260">
        <v>45832</v>
      </c>
      <c r="C1198" s="261" t="s">
        <v>521</v>
      </c>
      <c r="D1198" s="261" t="s">
        <v>889</v>
      </c>
      <c r="E1198" s="262">
        <v>2800000</v>
      </c>
      <c r="F1198" s="262">
        <v>0</v>
      </c>
      <c r="G1198" s="285">
        <f>Tabla3[[#This Row],[INGRESOS]]-Tabla3[[#This Row],[EGRESOS]]</f>
        <v>-2800000</v>
      </c>
      <c r="H1198" s="135">
        <v>-10666849.16</v>
      </c>
      <c r="I1198" s="135">
        <v>1170</v>
      </c>
      <c r="J1198" s="136">
        <f>Tabla3[[#This Row],[EGRESOS]]/Tabla3[[#This Row],[TC]]</f>
        <v>2393.1623931623931</v>
      </c>
      <c r="K1198" s="136">
        <f>Tabla3[[#This Row],[INGRESOS]]/Tabla3[[#This Row],[TC]]</f>
        <v>0</v>
      </c>
      <c r="L1198" s="8" t="s">
        <v>303</v>
      </c>
      <c r="M1198" s="8" t="s">
        <v>304</v>
      </c>
      <c r="N1198" s="8" t="s">
        <v>20</v>
      </c>
      <c r="O1198" s="8" t="s">
        <v>197</v>
      </c>
      <c r="P1198" s="8" t="s">
        <v>198</v>
      </c>
      <c r="Q1198" s="8" t="s">
        <v>201</v>
      </c>
      <c r="R1198" s="8" t="s">
        <v>827</v>
      </c>
      <c r="S1198" s="8" t="s">
        <v>815</v>
      </c>
      <c r="T1198" s="8"/>
      <c r="U1198" s="8" t="s">
        <v>258</v>
      </c>
      <c r="V1198" s="8"/>
      <c r="W1198" s="8" t="s">
        <v>306</v>
      </c>
      <c r="X1198" s="8" t="s">
        <v>29</v>
      </c>
      <c r="Y1198" s="8" t="s">
        <v>23</v>
      </c>
    </row>
    <row r="1199" spans="1:25" s="7" customFormat="1" hidden="1" x14ac:dyDescent="0.25">
      <c r="A1199" s="283" t="s">
        <v>725</v>
      </c>
      <c r="B1199" s="260">
        <v>45832</v>
      </c>
      <c r="C1199" s="261" t="s">
        <v>535</v>
      </c>
      <c r="D1199" s="261"/>
      <c r="E1199" s="262">
        <v>0</v>
      </c>
      <c r="F1199" s="262">
        <v>4700000</v>
      </c>
      <c r="G1199" s="285">
        <f>Tabla3[[#This Row],[INGRESOS]]-Tabla3[[#This Row],[EGRESOS]]</f>
        <v>4700000</v>
      </c>
      <c r="H1199" s="135">
        <v>-5966849.1600000001</v>
      </c>
      <c r="I1199" s="135">
        <v>1170</v>
      </c>
      <c r="J1199" s="136">
        <f>Tabla3[[#This Row],[EGRESOS]]/Tabla3[[#This Row],[TC]]</f>
        <v>0</v>
      </c>
      <c r="K1199" s="136">
        <f>Tabla3[[#This Row],[INGRESOS]]/Tabla3[[#This Row],[TC]]</f>
        <v>4017.0940170940171</v>
      </c>
      <c r="L1199" s="8" t="s">
        <v>303</v>
      </c>
      <c r="M1199" s="8" t="s">
        <v>304</v>
      </c>
      <c r="N1199" s="8" t="s">
        <v>20</v>
      </c>
      <c r="O1199" s="8" t="s">
        <v>214</v>
      </c>
      <c r="P1199" s="8" t="s">
        <v>216</v>
      </c>
      <c r="Q1199" s="8" t="s">
        <v>217</v>
      </c>
      <c r="R1199" s="8" t="s">
        <v>914</v>
      </c>
      <c r="S1199" s="8"/>
      <c r="T1199" s="8"/>
      <c r="U1199" s="8" t="s">
        <v>262</v>
      </c>
      <c r="V1199" s="8"/>
      <c r="W1199" s="8" t="s">
        <v>306</v>
      </c>
      <c r="X1199" s="8"/>
      <c r="Y1199" s="8"/>
    </row>
    <row r="1200" spans="1:25" s="7" customFormat="1" hidden="1" x14ac:dyDescent="0.25">
      <c r="A1200" s="283" t="s">
        <v>725</v>
      </c>
      <c r="B1200" s="260">
        <v>45832</v>
      </c>
      <c r="C1200" s="261" t="s">
        <v>699</v>
      </c>
      <c r="D1200" s="261"/>
      <c r="E1200" s="262">
        <v>0</v>
      </c>
      <c r="F1200" s="262">
        <v>64359736</v>
      </c>
      <c r="G1200" s="285">
        <f>Tabla3[[#This Row],[INGRESOS]]-Tabla3[[#This Row],[EGRESOS]]</f>
        <v>64359736</v>
      </c>
      <c r="H1200" s="135">
        <v>58392886.840000004</v>
      </c>
      <c r="I1200" s="135">
        <v>1170</v>
      </c>
      <c r="J1200" s="136">
        <f>Tabla3[[#This Row],[EGRESOS]]/Tabla3[[#This Row],[TC]]</f>
        <v>0</v>
      </c>
      <c r="K1200" s="136">
        <f>Tabla3[[#This Row],[INGRESOS]]/Tabla3[[#This Row],[TC]]</f>
        <v>55008.32136752137</v>
      </c>
      <c r="L1200" s="8" t="s">
        <v>303</v>
      </c>
      <c r="M1200" s="8" t="s">
        <v>304</v>
      </c>
      <c r="N1200" s="8" t="s">
        <v>20</v>
      </c>
      <c r="O1200" s="8" t="s">
        <v>742</v>
      </c>
      <c r="P1200" s="8" t="s">
        <v>1069</v>
      </c>
      <c r="Q1200" s="8" t="s">
        <v>933</v>
      </c>
      <c r="R1200" s="379" t="s">
        <v>936</v>
      </c>
      <c r="S1200" s="8" t="s">
        <v>700</v>
      </c>
      <c r="T1200" s="8" t="s">
        <v>934</v>
      </c>
      <c r="U1200" s="8" t="s">
        <v>270</v>
      </c>
      <c r="V1200" s="8"/>
      <c r="W1200" s="8" t="s">
        <v>306</v>
      </c>
      <c r="X1200" s="8" t="s">
        <v>23</v>
      </c>
      <c r="Y1200" s="8" t="s">
        <v>96</v>
      </c>
    </row>
    <row r="1201" spans="1:25" s="7" customFormat="1" hidden="1" x14ac:dyDescent="0.25">
      <c r="A1201" s="283" t="s">
        <v>725</v>
      </c>
      <c r="B1201" s="260">
        <v>45832</v>
      </c>
      <c r="C1201" s="261" t="s">
        <v>507</v>
      </c>
      <c r="D1201" s="261"/>
      <c r="E1201" s="262">
        <v>3024</v>
      </c>
      <c r="F1201" s="262">
        <v>0</v>
      </c>
      <c r="G1201" s="285">
        <f>Tabla3[[#This Row],[INGRESOS]]-Tabla3[[#This Row],[EGRESOS]]</f>
        <v>-3024</v>
      </c>
      <c r="H1201" s="135">
        <v>58389862.840000004</v>
      </c>
      <c r="I1201" s="135">
        <v>1170</v>
      </c>
      <c r="J1201" s="136">
        <f>Tabla3[[#This Row],[EGRESOS]]/Tabla3[[#This Row],[TC]]</f>
        <v>2.5846153846153848</v>
      </c>
      <c r="K1201" s="136">
        <f>Tabla3[[#This Row],[INGRESOS]]/Tabla3[[#This Row],[TC]]</f>
        <v>0</v>
      </c>
      <c r="L1201" s="8" t="s">
        <v>303</v>
      </c>
      <c r="M1201" s="8" t="s">
        <v>304</v>
      </c>
      <c r="N1201" s="8" t="s">
        <v>20</v>
      </c>
      <c r="O1201" s="8" t="s">
        <v>184</v>
      </c>
      <c r="P1201" s="8" t="s">
        <v>187</v>
      </c>
      <c r="Q1201" s="8" t="s">
        <v>188</v>
      </c>
      <c r="R1201" s="8" t="s">
        <v>308</v>
      </c>
      <c r="S1201" s="8"/>
      <c r="T1201" s="8"/>
      <c r="U1201" s="8" t="s">
        <v>261</v>
      </c>
      <c r="V1201" s="8"/>
      <c r="W1201" s="8" t="s">
        <v>306</v>
      </c>
      <c r="X1201" s="8" t="s">
        <v>98</v>
      </c>
      <c r="Y1201" s="8" t="s">
        <v>23</v>
      </c>
    </row>
    <row r="1202" spans="1:25" s="7" customFormat="1" hidden="1" x14ac:dyDescent="0.25">
      <c r="A1202" s="283" t="s">
        <v>725</v>
      </c>
      <c r="B1202" s="260">
        <v>45832</v>
      </c>
      <c r="C1202" s="261" t="s">
        <v>508</v>
      </c>
      <c r="D1202" s="261"/>
      <c r="E1202" s="262">
        <v>432</v>
      </c>
      <c r="F1202" s="262">
        <v>0</v>
      </c>
      <c r="G1202" s="285">
        <f>Tabla3[[#This Row],[INGRESOS]]-Tabla3[[#This Row],[EGRESOS]]</f>
        <v>-432</v>
      </c>
      <c r="H1202" s="135">
        <v>58389430.840000004</v>
      </c>
      <c r="I1202" s="135">
        <v>1170</v>
      </c>
      <c r="J1202" s="136">
        <f>Tabla3[[#This Row],[EGRESOS]]/Tabla3[[#This Row],[TC]]</f>
        <v>0.36923076923076925</v>
      </c>
      <c r="K1202" s="136">
        <f>Tabla3[[#This Row],[INGRESOS]]/Tabla3[[#This Row],[TC]]</f>
        <v>0</v>
      </c>
      <c r="L1202" s="8" t="s">
        <v>303</v>
      </c>
      <c r="M1202" s="8" t="s">
        <v>304</v>
      </c>
      <c r="N1202" s="8" t="s">
        <v>20</v>
      </c>
      <c r="O1202" s="8" t="s">
        <v>184</v>
      </c>
      <c r="P1202" s="8" t="s">
        <v>187</v>
      </c>
      <c r="Q1202" s="8" t="s">
        <v>188</v>
      </c>
      <c r="R1202" s="8" t="s">
        <v>308</v>
      </c>
      <c r="S1202" s="8"/>
      <c r="T1202" s="8"/>
      <c r="U1202" s="8" t="s">
        <v>261</v>
      </c>
      <c r="V1202" s="8"/>
      <c r="W1202" s="8" t="s">
        <v>306</v>
      </c>
      <c r="X1202" s="8" t="s">
        <v>98</v>
      </c>
      <c r="Y1202" s="8" t="s">
        <v>23</v>
      </c>
    </row>
    <row r="1203" spans="1:25" s="7" customFormat="1" hidden="1" x14ac:dyDescent="0.25">
      <c r="A1203" s="283" t="s">
        <v>725</v>
      </c>
      <c r="B1203" s="260">
        <v>45832</v>
      </c>
      <c r="C1203" s="261" t="s">
        <v>536</v>
      </c>
      <c r="D1203" s="261"/>
      <c r="E1203" s="262">
        <v>14400</v>
      </c>
      <c r="F1203" s="262">
        <v>0</v>
      </c>
      <c r="G1203" s="285">
        <f>Tabla3[[#This Row],[INGRESOS]]-Tabla3[[#This Row],[EGRESOS]]</f>
        <v>-14400</v>
      </c>
      <c r="H1203" s="135">
        <v>58375030.840000004</v>
      </c>
      <c r="I1203" s="135">
        <v>1170</v>
      </c>
      <c r="J1203" s="136">
        <f>Tabla3[[#This Row],[EGRESOS]]/Tabla3[[#This Row],[TC]]</f>
        <v>12.307692307692308</v>
      </c>
      <c r="K1203" s="136">
        <f>Tabla3[[#This Row],[INGRESOS]]/Tabla3[[#This Row],[TC]]</f>
        <v>0</v>
      </c>
      <c r="L1203" s="8" t="s">
        <v>303</v>
      </c>
      <c r="M1203" s="8" t="s">
        <v>304</v>
      </c>
      <c r="N1203" s="8" t="s">
        <v>20</v>
      </c>
      <c r="O1203" s="8" t="s">
        <v>184</v>
      </c>
      <c r="P1203" s="8" t="s">
        <v>185</v>
      </c>
      <c r="Q1203" s="8" t="s">
        <v>186</v>
      </c>
      <c r="R1203" s="8"/>
      <c r="S1203" s="8"/>
      <c r="T1203" s="8"/>
      <c r="U1203" s="8" t="s">
        <v>261</v>
      </c>
      <c r="V1203" s="8"/>
      <c r="W1203" s="8" t="s">
        <v>306</v>
      </c>
      <c r="X1203" s="8" t="s">
        <v>98</v>
      </c>
      <c r="Y1203" s="8" t="s">
        <v>23</v>
      </c>
    </row>
    <row r="1204" spans="1:25" s="7" customFormat="1" hidden="1" x14ac:dyDescent="0.25">
      <c r="A1204" s="283" t="s">
        <v>725</v>
      </c>
      <c r="B1204" s="260">
        <v>45832</v>
      </c>
      <c r="C1204" s="261" t="s">
        <v>637</v>
      </c>
      <c r="D1204" s="261"/>
      <c r="E1204" s="262">
        <v>386158.42</v>
      </c>
      <c r="F1204" s="262">
        <v>0</v>
      </c>
      <c r="G1204" s="285">
        <f>Tabla3[[#This Row],[INGRESOS]]-Tabla3[[#This Row],[EGRESOS]]</f>
        <v>-386158.42</v>
      </c>
      <c r="H1204" s="135">
        <v>57988872.420000002</v>
      </c>
      <c r="I1204" s="135">
        <v>1170</v>
      </c>
      <c r="J1204" s="136">
        <f>Tabla3[[#This Row],[EGRESOS]]/Tabla3[[#This Row],[TC]]</f>
        <v>330.04993162393163</v>
      </c>
      <c r="K1204" s="136">
        <f>Tabla3[[#This Row],[INGRESOS]]/Tabla3[[#This Row],[TC]]</f>
        <v>0</v>
      </c>
      <c r="L1204" s="8" t="s">
        <v>303</v>
      </c>
      <c r="M1204" s="8" t="s">
        <v>304</v>
      </c>
      <c r="N1204" s="8" t="s">
        <v>20</v>
      </c>
      <c r="O1204" s="8" t="s">
        <v>184</v>
      </c>
      <c r="P1204" s="8" t="s">
        <v>187</v>
      </c>
      <c r="Q1204" s="8" t="s">
        <v>188</v>
      </c>
      <c r="R1204" s="8" t="s">
        <v>317</v>
      </c>
      <c r="S1204" s="8"/>
      <c r="T1204" s="8"/>
      <c r="U1204" s="8" t="s">
        <v>261</v>
      </c>
      <c r="V1204" s="8"/>
      <c r="W1204" s="8" t="s">
        <v>306</v>
      </c>
      <c r="X1204" s="8" t="s">
        <v>98</v>
      </c>
      <c r="Y1204" s="8" t="s">
        <v>23</v>
      </c>
    </row>
    <row r="1205" spans="1:25" s="7" customFormat="1" hidden="1" x14ac:dyDescent="0.25">
      <c r="A1205" s="283" t="s">
        <v>725</v>
      </c>
      <c r="B1205" s="260">
        <v>45832</v>
      </c>
      <c r="C1205" s="261" t="s">
        <v>637</v>
      </c>
      <c r="D1205" s="261"/>
      <c r="E1205" s="262">
        <v>29306.19</v>
      </c>
      <c r="F1205" s="262">
        <v>0</v>
      </c>
      <c r="G1205" s="285">
        <f>Tabla3[[#This Row],[INGRESOS]]-Tabla3[[#This Row],[EGRESOS]]</f>
        <v>-29306.19</v>
      </c>
      <c r="H1205" s="135">
        <v>57959566.229999997</v>
      </c>
      <c r="I1205" s="135">
        <v>1170</v>
      </c>
      <c r="J1205" s="136">
        <f>Tabla3[[#This Row],[EGRESOS]]/Tabla3[[#This Row],[TC]]</f>
        <v>25.048025641025639</v>
      </c>
      <c r="K1205" s="136">
        <f>Tabla3[[#This Row],[INGRESOS]]/Tabla3[[#This Row],[TC]]</f>
        <v>0</v>
      </c>
      <c r="L1205" s="8" t="s">
        <v>303</v>
      </c>
      <c r="M1205" s="8" t="s">
        <v>304</v>
      </c>
      <c r="N1205" s="8" t="s">
        <v>20</v>
      </c>
      <c r="O1205" s="8" t="s">
        <v>184</v>
      </c>
      <c r="P1205" s="8" t="s">
        <v>187</v>
      </c>
      <c r="Q1205" s="8" t="s">
        <v>188</v>
      </c>
      <c r="R1205" s="8" t="s">
        <v>317</v>
      </c>
      <c r="S1205" s="8"/>
      <c r="T1205" s="8"/>
      <c r="U1205" s="8" t="s">
        <v>261</v>
      </c>
      <c r="V1205" s="8"/>
      <c r="W1205" s="8" t="s">
        <v>306</v>
      </c>
      <c r="X1205" s="8" t="s">
        <v>98</v>
      </c>
      <c r="Y1205" s="8" t="s">
        <v>23</v>
      </c>
    </row>
    <row r="1206" spans="1:25" s="7" customFormat="1" hidden="1" x14ac:dyDescent="0.25">
      <c r="A1206" s="283" t="s">
        <v>725</v>
      </c>
      <c r="B1206" s="260">
        <v>45833</v>
      </c>
      <c r="C1206" s="261" t="s">
        <v>521</v>
      </c>
      <c r="D1206" s="261" t="s">
        <v>909</v>
      </c>
      <c r="E1206" s="262">
        <v>6943750</v>
      </c>
      <c r="F1206" s="262">
        <v>0</v>
      </c>
      <c r="G1206" s="285">
        <f>Tabla3[[#This Row],[INGRESOS]]-Tabla3[[#This Row],[EGRESOS]]</f>
        <v>-6943750</v>
      </c>
      <c r="H1206" s="135">
        <v>51015816.229999997</v>
      </c>
      <c r="I1206" s="135">
        <v>1170</v>
      </c>
      <c r="J1206" s="136">
        <f>Tabla3[[#This Row],[EGRESOS]]/Tabla3[[#This Row],[TC]]</f>
        <v>5934.8290598290596</v>
      </c>
      <c r="K1206" s="136">
        <f>Tabla3[[#This Row],[INGRESOS]]/Tabla3[[#This Row],[TC]]</f>
        <v>0</v>
      </c>
      <c r="L1206" s="8" t="s">
        <v>303</v>
      </c>
      <c r="M1206" s="8" t="s">
        <v>304</v>
      </c>
      <c r="N1206" s="8" t="s">
        <v>20</v>
      </c>
      <c r="O1206" s="8" t="s">
        <v>197</v>
      </c>
      <c r="P1206" s="8" t="s">
        <v>198</v>
      </c>
      <c r="Q1206" s="8" t="s">
        <v>200</v>
      </c>
      <c r="R1206" s="8" t="s">
        <v>911</v>
      </c>
      <c r="S1206" s="8" t="s">
        <v>910</v>
      </c>
      <c r="T1206" s="8" t="s">
        <v>912</v>
      </c>
      <c r="U1206" s="8" t="s">
        <v>258</v>
      </c>
      <c r="V1206" s="8"/>
      <c r="W1206" s="8" t="s">
        <v>306</v>
      </c>
      <c r="X1206" s="8" t="s">
        <v>29</v>
      </c>
      <c r="Y1206" s="8" t="s">
        <v>23</v>
      </c>
    </row>
    <row r="1207" spans="1:25" s="7" customFormat="1" hidden="1" x14ac:dyDescent="0.25">
      <c r="A1207" s="283" t="s">
        <v>725</v>
      </c>
      <c r="B1207" s="260">
        <v>45833</v>
      </c>
      <c r="C1207" s="261" t="s">
        <v>521</v>
      </c>
      <c r="D1207" s="261" t="s">
        <v>908</v>
      </c>
      <c r="E1207" s="262">
        <v>205379.35</v>
      </c>
      <c r="F1207" s="262">
        <v>0</v>
      </c>
      <c r="G1207" s="285">
        <f>Tabla3[[#This Row],[INGRESOS]]-Tabla3[[#This Row],[EGRESOS]]</f>
        <v>-205379.35</v>
      </c>
      <c r="H1207" s="135">
        <v>50810436.880000003</v>
      </c>
      <c r="I1207" s="135">
        <v>1170</v>
      </c>
      <c r="J1207" s="136">
        <f>Tabla3[[#This Row],[EGRESOS]]/Tabla3[[#This Row],[TC]]</f>
        <v>175.53790598290598</v>
      </c>
      <c r="K1207" s="136">
        <f>Tabla3[[#This Row],[INGRESOS]]/Tabla3[[#This Row],[TC]]</f>
        <v>0</v>
      </c>
      <c r="L1207" s="8" t="s">
        <v>303</v>
      </c>
      <c r="M1207" s="8" t="s">
        <v>304</v>
      </c>
      <c r="N1207" s="8" t="s">
        <v>20</v>
      </c>
      <c r="O1207" s="8" t="s">
        <v>204</v>
      </c>
      <c r="P1207" s="8" t="s">
        <v>210</v>
      </c>
      <c r="Q1207" s="8" t="s">
        <v>33</v>
      </c>
      <c r="R1207" s="8"/>
      <c r="S1207" s="8" t="s">
        <v>325</v>
      </c>
      <c r="T1207" s="8" t="s">
        <v>913</v>
      </c>
      <c r="U1207" s="8" t="s">
        <v>258</v>
      </c>
      <c r="V1207" s="8"/>
      <c r="W1207" s="8" t="s">
        <v>306</v>
      </c>
      <c r="X1207" s="8" t="s">
        <v>29</v>
      </c>
      <c r="Y1207" s="8" t="s">
        <v>23</v>
      </c>
    </row>
    <row r="1208" spans="1:25" s="7" customFormat="1" hidden="1" x14ac:dyDescent="0.25">
      <c r="A1208" s="283" t="s">
        <v>725</v>
      </c>
      <c r="B1208" s="260">
        <v>45833</v>
      </c>
      <c r="C1208" s="261" t="s">
        <v>542</v>
      </c>
      <c r="D1208" s="261"/>
      <c r="E1208" s="262">
        <v>25002223.5</v>
      </c>
      <c r="F1208" s="262">
        <v>0</v>
      </c>
      <c r="G1208" s="285">
        <f>Tabla3[[#This Row],[INGRESOS]]-Tabla3[[#This Row],[EGRESOS]]</f>
        <v>-25002223.5</v>
      </c>
      <c r="H1208" s="135">
        <v>25808213.379999999</v>
      </c>
      <c r="I1208" s="135">
        <v>1170</v>
      </c>
      <c r="J1208" s="136">
        <f>Tabla3[[#This Row],[EGRESOS]]/Tabla3[[#This Row],[TC]]</f>
        <v>21369.421794871796</v>
      </c>
      <c r="K1208" s="136">
        <f>Tabla3[[#This Row],[INGRESOS]]/Tabla3[[#This Row],[TC]]</f>
        <v>0</v>
      </c>
      <c r="L1208" s="8" t="s">
        <v>303</v>
      </c>
      <c r="M1208" s="8" t="s">
        <v>304</v>
      </c>
      <c r="N1208" s="8" t="s">
        <v>20</v>
      </c>
      <c r="O1208" s="8" t="s">
        <v>742</v>
      </c>
      <c r="P1208" s="8" t="s">
        <v>1070</v>
      </c>
      <c r="Q1208" s="8" t="s">
        <v>967</v>
      </c>
      <c r="S1208" s="8" t="s">
        <v>966</v>
      </c>
      <c r="T1208" s="8"/>
      <c r="U1208" s="8" t="s">
        <v>929</v>
      </c>
      <c r="V1208" s="8"/>
      <c r="W1208" s="8" t="s">
        <v>306</v>
      </c>
      <c r="X1208" s="8" t="s">
        <v>98</v>
      </c>
      <c r="Y1208" s="8" t="s">
        <v>23</v>
      </c>
    </row>
    <row r="1209" spans="1:25" s="7" customFormat="1" hidden="1" x14ac:dyDescent="0.25">
      <c r="A1209" s="283" t="s">
        <v>725</v>
      </c>
      <c r="B1209" s="260">
        <v>45833</v>
      </c>
      <c r="C1209" s="261" t="s">
        <v>571</v>
      </c>
      <c r="D1209" s="261"/>
      <c r="E1209" s="262">
        <v>121</v>
      </c>
      <c r="F1209" s="262">
        <v>0</v>
      </c>
      <c r="G1209" s="285">
        <f>Tabla3[[#This Row],[INGRESOS]]-Tabla3[[#This Row],[EGRESOS]]</f>
        <v>-121</v>
      </c>
      <c r="H1209" s="135">
        <v>25808092.379999999</v>
      </c>
      <c r="I1209" s="135">
        <v>1170</v>
      </c>
      <c r="J1209" s="136">
        <f>Tabla3[[#This Row],[EGRESOS]]/Tabla3[[#This Row],[TC]]</f>
        <v>0.10341880341880341</v>
      </c>
      <c r="K1209" s="136">
        <f>Tabla3[[#This Row],[INGRESOS]]/Tabla3[[#This Row],[TC]]</f>
        <v>0</v>
      </c>
      <c r="L1209" s="8" t="s">
        <v>303</v>
      </c>
      <c r="M1209" s="8" t="s">
        <v>304</v>
      </c>
      <c r="N1209" s="8" t="s">
        <v>20</v>
      </c>
      <c r="O1209" s="8" t="s">
        <v>184</v>
      </c>
      <c r="P1209" s="8" t="s">
        <v>187</v>
      </c>
      <c r="Q1209" s="8" t="s">
        <v>188</v>
      </c>
      <c r="R1209" s="8" t="s">
        <v>317</v>
      </c>
      <c r="S1209" s="8"/>
      <c r="T1209" s="8"/>
      <c r="U1209" s="8" t="s">
        <v>261</v>
      </c>
      <c r="V1209" s="8"/>
      <c r="W1209" s="8" t="s">
        <v>306</v>
      </c>
      <c r="X1209" s="8" t="s">
        <v>98</v>
      </c>
      <c r="Y1209" s="8" t="s">
        <v>23</v>
      </c>
    </row>
    <row r="1210" spans="1:25" s="7" customFormat="1" hidden="1" x14ac:dyDescent="0.25">
      <c r="A1210" s="283" t="s">
        <v>725</v>
      </c>
      <c r="B1210" s="260">
        <v>45833</v>
      </c>
      <c r="C1210" s="261" t="s">
        <v>323</v>
      </c>
      <c r="D1210" s="261"/>
      <c r="E1210" s="262">
        <v>7200000</v>
      </c>
      <c r="F1210" s="262">
        <v>0</v>
      </c>
      <c r="G1210" s="285">
        <f>Tabla3[[#This Row],[INGRESOS]]-Tabla3[[#This Row],[EGRESOS]]</f>
        <v>-7200000</v>
      </c>
      <c r="H1210" s="135">
        <v>18608092.379999999</v>
      </c>
      <c r="I1210" s="135">
        <v>1170</v>
      </c>
      <c r="J1210" s="136">
        <f>Tabla3[[#This Row],[EGRESOS]]/Tabla3[[#This Row],[TC]]</f>
        <v>6153.8461538461543</v>
      </c>
      <c r="K1210" s="136">
        <f>Tabla3[[#This Row],[INGRESOS]]/Tabla3[[#This Row],[TC]]</f>
        <v>0</v>
      </c>
      <c r="L1210" s="8" t="s">
        <v>303</v>
      </c>
      <c r="M1210" s="8" t="s">
        <v>304</v>
      </c>
      <c r="N1210" s="8" t="s">
        <v>20</v>
      </c>
      <c r="O1210" s="8" t="s">
        <v>214</v>
      </c>
      <c r="P1210" s="8" t="s">
        <v>216</v>
      </c>
      <c r="Q1210" s="8" t="s">
        <v>217</v>
      </c>
      <c r="R1210" s="8" t="s">
        <v>686</v>
      </c>
      <c r="S1210" s="8"/>
      <c r="T1210" s="8"/>
      <c r="U1210" s="8" t="s">
        <v>262</v>
      </c>
      <c r="V1210" s="8"/>
      <c r="W1210" s="8" t="s">
        <v>306</v>
      </c>
      <c r="X1210" s="8"/>
      <c r="Y1210" s="8"/>
    </row>
    <row r="1211" spans="1:25" s="7" customFormat="1" hidden="1" x14ac:dyDescent="0.25">
      <c r="A1211" s="283" t="s">
        <v>725</v>
      </c>
      <c r="B1211" s="260">
        <v>45833</v>
      </c>
      <c r="C1211" s="261" t="s">
        <v>571</v>
      </c>
      <c r="D1211" s="261"/>
      <c r="E1211" s="262">
        <v>121</v>
      </c>
      <c r="F1211" s="262">
        <v>0</v>
      </c>
      <c r="G1211" s="285">
        <f>Tabla3[[#This Row],[INGRESOS]]-Tabla3[[#This Row],[EGRESOS]]</f>
        <v>-121</v>
      </c>
      <c r="H1211" s="135">
        <v>18607971.379999999</v>
      </c>
      <c r="I1211" s="135">
        <v>1170</v>
      </c>
      <c r="J1211" s="136">
        <f>Tabla3[[#This Row],[EGRESOS]]/Tabla3[[#This Row],[TC]]</f>
        <v>0.10341880341880341</v>
      </c>
      <c r="K1211" s="136">
        <f>Tabla3[[#This Row],[INGRESOS]]/Tabla3[[#This Row],[TC]]</f>
        <v>0</v>
      </c>
      <c r="L1211" s="8" t="s">
        <v>303</v>
      </c>
      <c r="M1211" s="8" t="s">
        <v>304</v>
      </c>
      <c r="N1211" s="8" t="s">
        <v>20</v>
      </c>
      <c r="O1211" s="8" t="s">
        <v>184</v>
      </c>
      <c r="P1211" s="8" t="s">
        <v>187</v>
      </c>
      <c r="Q1211" s="8" t="s">
        <v>188</v>
      </c>
      <c r="R1211" s="8" t="s">
        <v>317</v>
      </c>
      <c r="S1211" s="8"/>
      <c r="T1211" s="8"/>
      <c r="U1211" s="8" t="s">
        <v>261</v>
      </c>
      <c r="V1211" s="8"/>
      <c r="W1211" s="8" t="s">
        <v>306</v>
      </c>
      <c r="X1211" s="8" t="s">
        <v>98</v>
      </c>
      <c r="Y1211" s="8" t="s">
        <v>23</v>
      </c>
    </row>
    <row r="1212" spans="1:25" s="7" customFormat="1" hidden="1" x14ac:dyDescent="0.25">
      <c r="A1212" s="283" t="s">
        <v>725</v>
      </c>
      <c r="B1212" s="260">
        <v>45833</v>
      </c>
      <c r="C1212" s="261" t="s">
        <v>323</v>
      </c>
      <c r="D1212" s="261"/>
      <c r="E1212" s="262">
        <v>14000000</v>
      </c>
      <c r="F1212" s="262">
        <v>0</v>
      </c>
      <c r="G1212" s="285">
        <f>Tabla3[[#This Row],[INGRESOS]]-Tabla3[[#This Row],[EGRESOS]]</f>
        <v>-14000000</v>
      </c>
      <c r="H1212" s="135">
        <v>4607971.38</v>
      </c>
      <c r="I1212" s="135">
        <v>1170</v>
      </c>
      <c r="J1212" s="136">
        <f>Tabla3[[#This Row],[EGRESOS]]/Tabla3[[#This Row],[TC]]</f>
        <v>11965.811965811965</v>
      </c>
      <c r="K1212" s="136">
        <f>Tabla3[[#This Row],[INGRESOS]]/Tabla3[[#This Row],[TC]]</f>
        <v>0</v>
      </c>
      <c r="L1212" s="8" t="s">
        <v>303</v>
      </c>
      <c r="M1212" s="8" t="s">
        <v>304</v>
      </c>
      <c r="N1212" s="8" t="s">
        <v>20</v>
      </c>
      <c r="O1212" s="8" t="s">
        <v>214</v>
      </c>
      <c r="P1212" s="8" t="s">
        <v>216</v>
      </c>
      <c r="Q1212" s="8" t="s">
        <v>217</v>
      </c>
      <c r="R1212" s="8" t="s">
        <v>484</v>
      </c>
      <c r="S1212" s="8"/>
      <c r="T1212" s="8"/>
      <c r="U1212" s="8" t="s">
        <v>262</v>
      </c>
      <c r="V1212" s="8"/>
      <c r="W1212" s="8" t="s">
        <v>306</v>
      </c>
      <c r="X1212" s="8"/>
      <c r="Y1212" s="8"/>
    </row>
    <row r="1213" spans="1:25" s="7" customFormat="1" hidden="1" x14ac:dyDescent="0.25">
      <c r="A1213" s="283" t="s">
        <v>725</v>
      </c>
      <c r="B1213" s="260">
        <v>45833</v>
      </c>
      <c r="C1213" s="261" t="s">
        <v>571</v>
      </c>
      <c r="D1213" s="261"/>
      <c r="E1213" s="262">
        <v>121</v>
      </c>
      <c r="F1213" s="262">
        <v>0</v>
      </c>
      <c r="G1213" s="285">
        <f>Tabla3[[#This Row],[INGRESOS]]-Tabla3[[#This Row],[EGRESOS]]</f>
        <v>-121</v>
      </c>
      <c r="H1213" s="135">
        <v>4607850.38</v>
      </c>
      <c r="I1213" s="135">
        <v>1170</v>
      </c>
      <c r="J1213" s="136">
        <f>Tabla3[[#This Row],[EGRESOS]]/Tabla3[[#This Row],[TC]]</f>
        <v>0.10341880341880341</v>
      </c>
      <c r="K1213" s="136">
        <f>Tabla3[[#This Row],[INGRESOS]]/Tabla3[[#This Row],[TC]]</f>
        <v>0</v>
      </c>
      <c r="L1213" s="8" t="s">
        <v>303</v>
      </c>
      <c r="M1213" s="8" t="s">
        <v>304</v>
      </c>
      <c r="N1213" s="8" t="s">
        <v>20</v>
      </c>
      <c r="O1213" s="8" t="s">
        <v>184</v>
      </c>
      <c r="P1213" s="8" t="s">
        <v>185</v>
      </c>
      <c r="Q1213" s="8" t="s">
        <v>186</v>
      </c>
      <c r="R1213" s="8"/>
      <c r="S1213" s="8"/>
      <c r="T1213" s="8"/>
      <c r="U1213" s="8" t="s">
        <v>261</v>
      </c>
      <c r="V1213" s="8"/>
      <c r="W1213" s="8" t="s">
        <v>306</v>
      </c>
      <c r="X1213" s="8" t="s">
        <v>98</v>
      </c>
      <c r="Y1213" s="8" t="s">
        <v>23</v>
      </c>
    </row>
    <row r="1214" spans="1:25" s="7" customFormat="1" hidden="1" x14ac:dyDescent="0.25">
      <c r="A1214" s="283" t="s">
        <v>725</v>
      </c>
      <c r="B1214" s="260">
        <v>45833</v>
      </c>
      <c r="C1214" s="261" t="s">
        <v>637</v>
      </c>
      <c r="D1214" s="261"/>
      <c r="E1214" s="262">
        <v>192910.31</v>
      </c>
      <c r="F1214" s="262">
        <v>0</v>
      </c>
      <c r="G1214" s="285">
        <f>Tabla3[[#This Row],[INGRESOS]]-Tabla3[[#This Row],[EGRESOS]]</f>
        <v>-192910.31</v>
      </c>
      <c r="H1214" s="135">
        <v>4414940.07</v>
      </c>
      <c r="I1214" s="135">
        <v>1170</v>
      </c>
      <c r="J1214" s="136">
        <f>Tabla3[[#This Row],[EGRESOS]]/Tabla3[[#This Row],[TC]]</f>
        <v>164.88060683760685</v>
      </c>
      <c r="K1214" s="136">
        <f>Tabla3[[#This Row],[INGRESOS]]/Tabla3[[#This Row],[TC]]</f>
        <v>0</v>
      </c>
      <c r="L1214" s="8" t="s">
        <v>303</v>
      </c>
      <c r="M1214" s="8" t="s">
        <v>304</v>
      </c>
      <c r="N1214" s="8" t="s">
        <v>20</v>
      </c>
      <c r="O1214" s="8" t="s">
        <v>184</v>
      </c>
      <c r="P1214" s="8" t="s">
        <v>187</v>
      </c>
      <c r="Q1214" s="8" t="s">
        <v>188</v>
      </c>
      <c r="R1214" s="8" t="s">
        <v>317</v>
      </c>
      <c r="S1214" s="8"/>
      <c r="T1214" s="8"/>
      <c r="U1214" s="8" t="s">
        <v>261</v>
      </c>
      <c r="V1214" s="8"/>
      <c r="W1214" s="8" t="s">
        <v>306</v>
      </c>
      <c r="X1214" s="8" t="s">
        <v>98</v>
      </c>
      <c r="Y1214" s="8" t="s">
        <v>23</v>
      </c>
    </row>
    <row r="1215" spans="1:25" s="7" customFormat="1" hidden="1" x14ac:dyDescent="0.25">
      <c r="A1215" s="283" t="s">
        <v>725</v>
      </c>
      <c r="B1215" s="260">
        <v>45834</v>
      </c>
      <c r="C1215" s="261" t="s">
        <v>521</v>
      </c>
      <c r="D1215" s="261" t="s">
        <v>926</v>
      </c>
      <c r="E1215" s="262">
        <v>2059843.5</v>
      </c>
      <c r="F1215" s="262">
        <v>0</v>
      </c>
      <c r="G1215" s="285">
        <f>Tabla3[[#This Row],[INGRESOS]]-Tabla3[[#This Row],[EGRESOS]]</f>
        <v>-2059843.5</v>
      </c>
      <c r="H1215" s="135">
        <v>2355096.5699999998</v>
      </c>
      <c r="I1215" s="135">
        <v>1170</v>
      </c>
      <c r="J1215" s="136">
        <f>Tabla3[[#This Row],[EGRESOS]]/Tabla3[[#This Row],[TC]]</f>
        <v>1760.55</v>
      </c>
      <c r="K1215" s="136">
        <f>Tabla3[[#This Row],[INGRESOS]]/Tabla3[[#This Row],[TC]]</f>
        <v>0</v>
      </c>
      <c r="L1215" s="8" t="s">
        <v>303</v>
      </c>
      <c r="M1215" s="8" t="s">
        <v>304</v>
      </c>
      <c r="N1215" s="8" t="s">
        <v>20</v>
      </c>
      <c r="O1215" s="8" t="s">
        <v>197</v>
      </c>
      <c r="P1215" s="8" t="s">
        <v>198</v>
      </c>
      <c r="Q1215" s="8" t="s">
        <v>201</v>
      </c>
      <c r="R1215" s="8" t="s">
        <v>736</v>
      </c>
      <c r="S1215" s="8" t="s">
        <v>927</v>
      </c>
      <c r="T1215" s="8" t="s">
        <v>1044</v>
      </c>
      <c r="U1215" s="8" t="s">
        <v>258</v>
      </c>
      <c r="V1215" s="8"/>
      <c r="W1215" s="8" t="s">
        <v>306</v>
      </c>
      <c r="X1215" s="8" t="s">
        <v>29</v>
      </c>
      <c r="Y1215" s="8" t="s">
        <v>23</v>
      </c>
    </row>
    <row r="1216" spans="1:25" s="7" customFormat="1" hidden="1" x14ac:dyDescent="0.25">
      <c r="A1216" s="283" t="s">
        <v>725</v>
      </c>
      <c r="B1216" s="260">
        <v>45834</v>
      </c>
      <c r="C1216" s="261" t="s">
        <v>542</v>
      </c>
      <c r="D1216" s="261"/>
      <c r="E1216" s="262">
        <v>450000</v>
      </c>
      <c r="F1216" s="262">
        <v>0</v>
      </c>
      <c r="G1216" s="285">
        <f>Tabla3[[#This Row],[INGRESOS]]-Tabla3[[#This Row],[EGRESOS]]</f>
        <v>-450000</v>
      </c>
      <c r="H1216" s="135">
        <v>1905096.57</v>
      </c>
      <c r="I1216" s="135">
        <v>1170</v>
      </c>
      <c r="J1216" s="136">
        <f>Tabla3[[#This Row],[EGRESOS]]/Tabla3[[#This Row],[TC]]</f>
        <v>384.61538461538464</v>
      </c>
      <c r="K1216" s="136">
        <f>Tabla3[[#This Row],[INGRESOS]]/Tabla3[[#This Row],[TC]]</f>
        <v>0</v>
      </c>
      <c r="L1216" s="8" t="s">
        <v>303</v>
      </c>
      <c r="M1216" s="8" t="s">
        <v>304</v>
      </c>
      <c r="N1216" s="8" t="s">
        <v>20</v>
      </c>
      <c r="O1216" s="8" t="s">
        <v>184</v>
      </c>
      <c r="P1216" s="8" t="s">
        <v>194</v>
      </c>
      <c r="Q1216" s="8" t="s">
        <v>196</v>
      </c>
      <c r="R1216" s="8" t="s">
        <v>887</v>
      </c>
      <c r="S1216" s="8" t="s">
        <v>331</v>
      </c>
      <c r="T1216" s="8"/>
      <c r="U1216" s="8" t="s">
        <v>267</v>
      </c>
      <c r="V1216" s="8" t="s">
        <v>332</v>
      </c>
      <c r="W1216" s="8" t="s">
        <v>306</v>
      </c>
      <c r="X1216" s="8" t="s">
        <v>101</v>
      </c>
      <c r="Y1216" s="8" t="s">
        <v>23</v>
      </c>
    </row>
    <row r="1217" spans="1:25" s="7" customFormat="1" hidden="1" x14ac:dyDescent="0.25">
      <c r="A1217" s="283" t="s">
        <v>725</v>
      </c>
      <c r="B1217" s="260">
        <v>45834</v>
      </c>
      <c r="C1217" s="261" t="s">
        <v>571</v>
      </c>
      <c r="D1217" s="261"/>
      <c r="E1217" s="262">
        <v>121</v>
      </c>
      <c r="F1217" s="262">
        <v>0</v>
      </c>
      <c r="G1217" s="285">
        <f>Tabla3[[#This Row],[INGRESOS]]-Tabla3[[#This Row],[EGRESOS]]</f>
        <v>-121</v>
      </c>
      <c r="H1217" s="135">
        <v>1904975.57</v>
      </c>
      <c r="I1217" s="135">
        <v>1170</v>
      </c>
      <c r="J1217" s="136">
        <f>Tabla3[[#This Row],[EGRESOS]]/Tabla3[[#This Row],[TC]]</f>
        <v>0.10341880341880341</v>
      </c>
      <c r="K1217" s="136">
        <f>Tabla3[[#This Row],[INGRESOS]]/Tabla3[[#This Row],[TC]]</f>
        <v>0</v>
      </c>
      <c r="L1217" s="8" t="s">
        <v>303</v>
      </c>
      <c r="M1217" s="8" t="s">
        <v>304</v>
      </c>
      <c r="N1217" s="8" t="s">
        <v>20</v>
      </c>
      <c r="O1217" s="8" t="s">
        <v>184</v>
      </c>
      <c r="P1217" s="8" t="s">
        <v>185</v>
      </c>
      <c r="Q1217" s="8" t="s">
        <v>186</v>
      </c>
      <c r="R1217" s="8"/>
      <c r="S1217" s="8"/>
      <c r="T1217" s="8"/>
      <c r="U1217" s="8" t="s">
        <v>261</v>
      </c>
      <c r="V1217" s="8"/>
      <c r="W1217" s="8" t="s">
        <v>306</v>
      </c>
      <c r="X1217" s="8" t="s">
        <v>98</v>
      </c>
      <c r="Y1217" s="8" t="s">
        <v>23</v>
      </c>
    </row>
    <row r="1218" spans="1:25" s="7" customFormat="1" hidden="1" x14ac:dyDescent="0.25">
      <c r="A1218" s="283" t="s">
        <v>725</v>
      </c>
      <c r="B1218" s="260">
        <v>45834</v>
      </c>
      <c r="C1218" s="261" t="s">
        <v>542</v>
      </c>
      <c r="D1218" s="261"/>
      <c r="E1218" s="262">
        <v>600000</v>
      </c>
      <c r="F1218" s="262">
        <v>0</v>
      </c>
      <c r="G1218" s="285">
        <f>Tabla3[[#This Row],[INGRESOS]]-Tabla3[[#This Row],[EGRESOS]]</f>
        <v>-600000</v>
      </c>
      <c r="H1218" s="135">
        <v>1304975.57</v>
      </c>
      <c r="I1218" s="135">
        <v>1170</v>
      </c>
      <c r="J1218" s="136">
        <f>Tabla3[[#This Row],[EGRESOS]]/Tabla3[[#This Row],[TC]]</f>
        <v>512.82051282051282</v>
      </c>
      <c r="K1218" s="136">
        <f>Tabla3[[#This Row],[INGRESOS]]/Tabla3[[#This Row],[TC]]</f>
        <v>0</v>
      </c>
      <c r="L1218" s="8" t="s">
        <v>303</v>
      </c>
      <c r="M1218" s="8" t="s">
        <v>304</v>
      </c>
      <c r="N1218" s="8" t="s">
        <v>20</v>
      </c>
      <c r="O1218" s="8" t="s">
        <v>184</v>
      </c>
      <c r="P1218" s="8" t="s">
        <v>191</v>
      </c>
      <c r="Q1218" s="8" t="s">
        <v>193</v>
      </c>
      <c r="R1218" s="8" t="s">
        <v>666</v>
      </c>
      <c r="S1218" s="8" t="s">
        <v>313</v>
      </c>
      <c r="T1218" s="8"/>
      <c r="U1218" s="8" t="s">
        <v>266</v>
      </c>
      <c r="V1218" s="8"/>
      <c r="W1218" s="8" t="s">
        <v>306</v>
      </c>
      <c r="X1218" s="8" t="s">
        <v>98</v>
      </c>
      <c r="Y1218" s="8" t="s">
        <v>23</v>
      </c>
    </row>
    <row r="1219" spans="1:25" s="7" customFormat="1" hidden="1" x14ac:dyDescent="0.25">
      <c r="A1219" s="283" t="s">
        <v>725</v>
      </c>
      <c r="B1219" s="260">
        <v>45834</v>
      </c>
      <c r="C1219" s="261" t="s">
        <v>571</v>
      </c>
      <c r="D1219" s="261"/>
      <c r="E1219" s="262">
        <v>121</v>
      </c>
      <c r="F1219" s="262">
        <v>0</v>
      </c>
      <c r="G1219" s="285">
        <f>Tabla3[[#This Row],[INGRESOS]]-Tabla3[[#This Row],[EGRESOS]]</f>
        <v>-121</v>
      </c>
      <c r="H1219" s="135">
        <v>1304854.57</v>
      </c>
      <c r="I1219" s="135">
        <v>1170</v>
      </c>
      <c r="J1219" s="136">
        <f>Tabla3[[#This Row],[EGRESOS]]/Tabla3[[#This Row],[TC]]</f>
        <v>0.10341880341880341</v>
      </c>
      <c r="K1219" s="136">
        <f>Tabla3[[#This Row],[INGRESOS]]/Tabla3[[#This Row],[TC]]</f>
        <v>0</v>
      </c>
      <c r="L1219" s="8" t="s">
        <v>303</v>
      </c>
      <c r="M1219" s="8" t="s">
        <v>304</v>
      </c>
      <c r="N1219" s="8" t="s">
        <v>20</v>
      </c>
      <c r="O1219" s="8" t="s">
        <v>184</v>
      </c>
      <c r="P1219" s="8" t="s">
        <v>185</v>
      </c>
      <c r="Q1219" s="8" t="s">
        <v>186</v>
      </c>
      <c r="R1219" s="8"/>
      <c r="S1219" s="8"/>
      <c r="T1219" s="8"/>
      <c r="U1219" s="8" t="s">
        <v>261</v>
      </c>
      <c r="V1219" s="8"/>
      <c r="W1219" s="8" t="s">
        <v>306</v>
      </c>
      <c r="X1219" s="8" t="s">
        <v>98</v>
      </c>
      <c r="Y1219" s="8" t="s">
        <v>23</v>
      </c>
    </row>
    <row r="1220" spans="1:25" s="7" customFormat="1" hidden="1" x14ac:dyDescent="0.25">
      <c r="A1220" s="283" t="s">
        <v>725</v>
      </c>
      <c r="B1220" s="260">
        <v>45834</v>
      </c>
      <c r="C1220" s="261" t="s">
        <v>637</v>
      </c>
      <c r="D1220" s="261"/>
      <c r="E1220" s="262">
        <v>18660.52</v>
      </c>
      <c r="F1220" s="262">
        <v>0</v>
      </c>
      <c r="G1220" s="285">
        <f>Tabla3[[#This Row],[INGRESOS]]-Tabla3[[#This Row],[EGRESOS]]</f>
        <v>-18660.52</v>
      </c>
      <c r="H1220" s="135">
        <v>1286194.05</v>
      </c>
      <c r="I1220" s="135">
        <v>1170</v>
      </c>
      <c r="J1220" s="136">
        <f>Tabla3[[#This Row],[EGRESOS]]/Tabla3[[#This Row],[TC]]</f>
        <v>15.949162393162393</v>
      </c>
      <c r="K1220" s="136">
        <f>Tabla3[[#This Row],[INGRESOS]]/Tabla3[[#This Row],[TC]]</f>
        <v>0</v>
      </c>
      <c r="L1220" s="8" t="s">
        <v>303</v>
      </c>
      <c r="M1220" s="8" t="s">
        <v>304</v>
      </c>
      <c r="N1220" s="8" t="s">
        <v>20</v>
      </c>
      <c r="O1220" s="8" t="s">
        <v>184</v>
      </c>
      <c r="P1220" s="8" t="s">
        <v>187</v>
      </c>
      <c r="Q1220" s="8" t="s">
        <v>188</v>
      </c>
      <c r="R1220" s="8" t="s">
        <v>317</v>
      </c>
      <c r="S1220" s="8"/>
      <c r="T1220" s="8"/>
      <c r="U1220" s="8" t="s">
        <v>261</v>
      </c>
      <c r="V1220" s="8"/>
      <c r="W1220" s="8" t="s">
        <v>306</v>
      </c>
      <c r="X1220" s="8" t="s">
        <v>98</v>
      </c>
      <c r="Y1220" s="8" t="s">
        <v>23</v>
      </c>
    </row>
    <row r="1221" spans="1:25" s="7" customFormat="1" x14ac:dyDescent="0.25">
      <c r="A1221" s="283" t="s">
        <v>725</v>
      </c>
      <c r="B1221" s="260">
        <v>45835</v>
      </c>
      <c r="C1221" s="261" t="s">
        <v>542</v>
      </c>
      <c r="D1221" s="261"/>
      <c r="E1221" s="262">
        <v>498034.54</v>
      </c>
      <c r="F1221" s="262">
        <v>0</v>
      </c>
      <c r="G1221" s="285">
        <f>Tabla3[[#This Row],[INGRESOS]]-Tabla3[[#This Row],[EGRESOS]]</f>
        <v>-498034.54</v>
      </c>
      <c r="H1221" s="135">
        <v>788159.51</v>
      </c>
      <c r="I1221" s="135">
        <v>1170</v>
      </c>
      <c r="J1221" s="136">
        <f>Tabla3[[#This Row],[EGRESOS]]/Tabla3[[#This Row],[TC]]</f>
        <v>425.67054700854698</v>
      </c>
      <c r="K1221" s="136">
        <f>Tabla3[[#This Row],[INGRESOS]]/Tabla3[[#This Row],[TC]]</f>
        <v>0</v>
      </c>
      <c r="L1221" s="8" t="s">
        <v>303</v>
      </c>
      <c r="M1221" s="8" t="s">
        <v>304</v>
      </c>
      <c r="N1221" s="8" t="s">
        <v>20</v>
      </c>
      <c r="O1221" s="8" t="s">
        <v>742</v>
      </c>
      <c r="P1221" s="8" t="s">
        <v>220</v>
      </c>
      <c r="Q1221" s="8" t="s">
        <v>940</v>
      </c>
      <c r="R1221" s="8" t="s">
        <v>939</v>
      </c>
      <c r="S1221" s="8" t="s">
        <v>938</v>
      </c>
      <c r="T1221" s="8"/>
      <c r="U1221" s="8" t="s">
        <v>258</v>
      </c>
      <c r="V1221" s="8"/>
      <c r="W1221" s="8" t="s">
        <v>306</v>
      </c>
      <c r="X1221" s="8" t="s">
        <v>29</v>
      </c>
      <c r="Y1221" s="8" t="s">
        <v>23</v>
      </c>
    </row>
    <row r="1222" spans="1:25" s="7" customFormat="1" hidden="1" x14ac:dyDescent="0.25">
      <c r="A1222" s="283" t="s">
        <v>725</v>
      </c>
      <c r="B1222" s="260">
        <v>45835</v>
      </c>
      <c r="C1222" s="261" t="s">
        <v>571</v>
      </c>
      <c r="D1222" s="261"/>
      <c r="E1222" s="262">
        <v>121</v>
      </c>
      <c r="F1222" s="262">
        <v>0</v>
      </c>
      <c r="G1222" s="285">
        <f>Tabla3[[#This Row],[INGRESOS]]-Tabla3[[#This Row],[EGRESOS]]</f>
        <v>-121</v>
      </c>
      <c r="H1222" s="135">
        <v>788038.51</v>
      </c>
      <c r="I1222" s="135">
        <v>1170</v>
      </c>
      <c r="J1222" s="136">
        <f>Tabla3[[#This Row],[EGRESOS]]/Tabla3[[#This Row],[TC]]</f>
        <v>0.10341880341880341</v>
      </c>
      <c r="K1222" s="136">
        <f>Tabla3[[#This Row],[INGRESOS]]/Tabla3[[#This Row],[TC]]</f>
        <v>0</v>
      </c>
      <c r="L1222" s="8" t="s">
        <v>303</v>
      </c>
      <c r="M1222" s="8" t="s">
        <v>304</v>
      </c>
      <c r="N1222" s="8" t="s">
        <v>20</v>
      </c>
      <c r="O1222" s="8" t="s">
        <v>184</v>
      </c>
      <c r="P1222" s="8" t="s">
        <v>185</v>
      </c>
      <c r="Q1222" s="8" t="s">
        <v>186</v>
      </c>
      <c r="R1222" s="8"/>
      <c r="S1222" s="8"/>
      <c r="T1222" s="8"/>
      <c r="U1222" s="8" t="s">
        <v>261</v>
      </c>
      <c r="V1222" s="8"/>
      <c r="W1222" s="8" t="s">
        <v>306</v>
      </c>
      <c r="X1222" s="8" t="s">
        <v>98</v>
      </c>
      <c r="Y1222" s="8" t="s">
        <v>23</v>
      </c>
    </row>
    <row r="1223" spans="1:25" s="7" customFormat="1" hidden="1" x14ac:dyDescent="0.25">
      <c r="A1223" s="283" t="s">
        <v>725</v>
      </c>
      <c r="B1223" s="260">
        <v>45835</v>
      </c>
      <c r="C1223" s="261" t="s">
        <v>507</v>
      </c>
      <c r="D1223" s="261"/>
      <c r="E1223" s="262">
        <v>2614.5</v>
      </c>
      <c r="F1223" s="262">
        <v>0</v>
      </c>
      <c r="G1223" s="285">
        <f>Tabla3[[#This Row],[INGRESOS]]-Tabla3[[#This Row],[EGRESOS]]</f>
        <v>-2614.5</v>
      </c>
      <c r="H1223" s="137">
        <v>785424.01</v>
      </c>
      <c r="I1223" s="135">
        <v>1170</v>
      </c>
      <c r="J1223" s="136">
        <f>Tabla3[[#This Row],[EGRESOS]]/Tabla3[[#This Row],[TC]]</f>
        <v>2.2346153846153847</v>
      </c>
      <c r="K1223" s="136">
        <f>Tabla3[[#This Row],[INGRESOS]]/Tabla3[[#This Row],[TC]]</f>
        <v>0</v>
      </c>
      <c r="L1223" s="8" t="s">
        <v>303</v>
      </c>
      <c r="M1223" s="8" t="s">
        <v>304</v>
      </c>
      <c r="N1223" s="8" t="s">
        <v>20</v>
      </c>
      <c r="O1223" s="8" t="s">
        <v>184</v>
      </c>
      <c r="P1223" s="8" t="s">
        <v>187</v>
      </c>
      <c r="Q1223" s="8" t="s">
        <v>188</v>
      </c>
      <c r="R1223" s="8" t="s">
        <v>308</v>
      </c>
      <c r="S1223" s="8"/>
      <c r="T1223" s="8"/>
      <c r="U1223" s="8" t="s">
        <v>261</v>
      </c>
      <c r="V1223" s="8"/>
      <c r="W1223" s="8" t="s">
        <v>306</v>
      </c>
      <c r="X1223" s="8" t="s">
        <v>98</v>
      </c>
      <c r="Y1223" s="8" t="s">
        <v>23</v>
      </c>
    </row>
    <row r="1224" spans="1:25" s="7" customFormat="1" hidden="1" x14ac:dyDescent="0.25">
      <c r="A1224" s="283" t="s">
        <v>725</v>
      </c>
      <c r="B1224" s="260">
        <v>45835</v>
      </c>
      <c r="C1224" s="261" t="s">
        <v>508</v>
      </c>
      <c r="D1224" s="261"/>
      <c r="E1224" s="262">
        <v>373.5</v>
      </c>
      <c r="F1224" s="262">
        <v>0</v>
      </c>
      <c r="G1224" s="285">
        <f>Tabla3[[#This Row],[INGRESOS]]-Tabla3[[#This Row],[EGRESOS]]</f>
        <v>-373.5</v>
      </c>
      <c r="H1224" s="137">
        <v>785050.51</v>
      </c>
      <c r="I1224" s="135">
        <v>1170</v>
      </c>
      <c r="J1224" s="136">
        <f>Tabla3[[#This Row],[EGRESOS]]/Tabla3[[#This Row],[TC]]</f>
        <v>0.31923076923076921</v>
      </c>
      <c r="K1224" s="136">
        <f>Tabla3[[#This Row],[INGRESOS]]/Tabla3[[#This Row],[TC]]</f>
        <v>0</v>
      </c>
      <c r="L1224" s="8" t="s">
        <v>303</v>
      </c>
      <c r="M1224" s="8" t="s">
        <v>304</v>
      </c>
      <c r="N1224" s="8" t="s">
        <v>20</v>
      </c>
      <c r="O1224" s="8" t="s">
        <v>184</v>
      </c>
      <c r="P1224" s="8" t="s">
        <v>187</v>
      </c>
      <c r="Q1224" s="8" t="s">
        <v>188</v>
      </c>
      <c r="R1224" s="8" t="s">
        <v>334</v>
      </c>
      <c r="S1224" s="8"/>
      <c r="T1224" s="8"/>
      <c r="U1224" s="8" t="s">
        <v>261</v>
      </c>
      <c r="V1224" s="8"/>
      <c r="W1224" s="8" t="s">
        <v>306</v>
      </c>
      <c r="X1224" s="8" t="s">
        <v>98</v>
      </c>
      <c r="Y1224" s="8" t="s">
        <v>23</v>
      </c>
    </row>
    <row r="1225" spans="1:25" s="7" customFormat="1" hidden="1" x14ac:dyDescent="0.25">
      <c r="A1225" s="283" t="s">
        <v>725</v>
      </c>
      <c r="B1225" s="260">
        <v>45835</v>
      </c>
      <c r="C1225" s="261" t="s">
        <v>580</v>
      </c>
      <c r="D1225" s="261"/>
      <c r="E1225" s="262">
        <v>12450</v>
      </c>
      <c r="F1225" s="262">
        <v>0</v>
      </c>
      <c r="G1225" s="285">
        <f>Tabla3[[#This Row],[INGRESOS]]-Tabla3[[#This Row],[EGRESOS]]</f>
        <v>-12450</v>
      </c>
      <c r="H1225" s="137">
        <v>772600.51</v>
      </c>
      <c r="I1225" s="135">
        <v>1170</v>
      </c>
      <c r="J1225" s="136">
        <f>Tabla3[[#This Row],[EGRESOS]]/Tabla3[[#This Row],[TC]]</f>
        <v>10.641025641025641</v>
      </c>
      <c r="K1225" s="136">
        <f>Tabla3[[#This Row],[INGRESOS]]/Tabla3[[#This Row],[TC]]</f>
        <v>0</v>
      </c>
      <c r="L1225" s="8" t="s">
        <v>303</v>
      </c>
      <c r="M1225" s="8" t="s">
        <v>304</v>
      </c>
      <c r="N1225" s="8" t="s">
        <v>20</v>
      </c>
      <c r="O1225" s="8" t="s">
        <v>184</v>
      </c>
      <c r="P1225" s="8" t="s">
        <v>185</v>
      </c>
      <c r="Q1225" s="8" t="s">
        <v>186</v>
      </c>
      <c r="R1225" s="8"/>
      <c r="S1225" s="8"/>
      <c r="T1225" s="8"/>
      <c r="U1225" s="8" t="s">
        <v>261</v>
      </c>
      <c r="V1225" s="8"/>
      <c r="W1225" s="8" t="s">
        <v>306</v>
      </c>
      <c r="X1225" s="8" t="s">
        <v>98</v>
      </c>
      <c r="Y1225" s="8" t="s">
        <v>23</v>
      </c>
    </row>
    <row r="1226" spans="1:25" s="7" customFormat="1" hidden="1" x14ac:dyDescent="0.25">
      <c r="A1226" s="283" t="s">
        <v>725</v>
      </c>
      <c r="B1226" s="260">
        <v>45835</v>
      </c>
      <c r="C1226" s="261" t="s">
        <v>637</v>
      </c>
      <c r="D1226" s="261"/>
      <c r="E1226" s="262">
        <v>3081.57</v>
      </c>
      <c r="F1226" s="262">
        <v>0</v>
      </c>
      <c r="G1226" s="285">
        <f>Tabla3[[#This Row],[INGRESOS]]-Tabla3[[#This Row],[EGRESOS]]</f>
        <v>-3081.57</v>
      </c>
      <c r="H1226" s="137">
        <v>769518.94</v>
      </c>
      <c r="I1226" s="135">
        <v>1170</v>
      </c>
      <c r="J1226" s="136">
        <f>Tabla3[[#This Row],[EGRESOS]]/Tabla3[[#This Row],[TC]]</f>
        <v>2.6338205128205128</v>
      </c>
      <c r="K1226" s="136">
        <f>Tabla3[[#This Row],[INGRESOS]]/Tabla3[[#This Row],[TC]]</f>
        <v>0</v>
      </c>
      <c r="L1226" s="8" t="s">
        <v>303</v>
      </c>
      <c r="M1226" s="8" t="s">
        <v>304</v>
      </c>
      <c r="N1226" s="8" t="s">
        <v>20</v>
      </c>
      <c r="O1226" s="8" t="s">
        <v>184</v>
      </c>
      <c r="P1226" s="8" t="s">
        <v>187</v>
      </c>
      <c r="Q1226" s="8" t="s">
        <v>188</v>
      </c>
      <c r="R1226" s="8" t="s">
        <v>317</v>
      </c>
      <c r="S1226" s="8"/>
      <c r="T1226" s="8"/>
      <c r="U1226" s="8" t="s">
        <v>261</v>
      </c>
      <c r="V1226" s="8"/>
      <c r="W1226" s="8" t="s">
        <v>306</v>
      </c>
      <c r="X1226" s="8" t="s">
        <v>98</v>
      </c>
      <c r="Y1226" s="8" t="s">
        <v>23</v>
      </c>
    </row>
    <row r="1227" spans="1:25" s="7" customFormat="1" hidden="1" x14ac:dyDescent="0.25">
      <c r="A1227" s="283" t="s">
        <v>725</v>
      </c>
      <c r="B1227" s="260">
        <v>45835</v>
      </c>
      <c r="C1227" s="261" t="s">
        <v>537</v>
      </c>
      <c r="D1227" s="261"/>
      <c r="E1227" s="262">
        <v>57382.239999999998</v>
      </c>
      <c r="F1227" s="262">
        <v>0</v>
      </c>
      <c r="G1227" s="285">
        <f>Tabla3[[#This Row],[INGRESOS]]-Tabla3[[#This Row],[EGRESOS]]</f>
        <v>-57382.239999999998</v>
      </c>
      <c r="H1227" s="137">
        <v>712136.7</v>
      </c>
      <c r="I1227" s="135">
        <v>1170</v>
      </c>
      <c r="J1227" s="136">
        <f>Tabla3[[#This Row],[EGRESOS]]/Tabla3[[#This Row],[TC]]</f>
        <v>49.044649572649568</v>
      </c>
      <c r="K1227" s="136">
        <f>Tabla3[[#This Row],[INGRESOS]]/Tabla3[[#This Row],[TC]]</f>
        <v>0</v>
      </c>
      <c r="L1227" s="8" t="s">
        <v>303</v>
      </c>
      <c r="M1227" s="8" t="s">
        <v>304</v>
      </c>
      <c r="N1227" s="8" t="s">
        <v>20</v>
      </c>
      <c r="O1227" s="8" t="s">
        <v>214</v>
      </c>
      <c r="P1227" s="8" t="s">
        <v>216</v>
      </c>
      <c r="Q1227" s="8" t="s">
        <v>217</v>
      </c>
      <c r="R1227" s="8" t="s">
        <v>546</v>
      </c>
      <c r="S1227" s="8"/>
      <c r="T1227" s="8"/>
      <c r="U1227" s="8" t="s">
        <v>262</v>
      </c>
      <c r="V1227" s="8"/>
      <c r="W1227" s="8"/>
      <c r="X1227" s="8"/>
      <c r="Y1227" s="8"/>
    </row>
    <row r="1228" spans="1:25" s="7" customFormat="1" hidden="1" x14ac:dyDescent="0.25">
      <c r="A1228" s="283" t="s">
        <v>725</v>
      </c>
      <c r="B1228" s="260">
        <v>45838</v>
      </c>
      <c r="C1228" s="261" t="s">
        <v>521</v>
      </c>
      <c r="D1228" s="261" t="s">
        <v>937</v>
      </c>
      <c r="E1228" s="262">
        <v>2583932</v>
      </c>
      <c r="F1228" s="262">
        <v>0</v>
      </c>
      <c r="G1228" s="285">
        <f>Tabla3[[#This Row],[INGRESOS]]-Tabla3[[#This Row],[EGRESOS]]</f>
        <v>-2583932</v>
      </c>
      <c r="H1228" s="137">
        <v>-1871795.3</v>
      </c>
      <c r="I1228" s="135">
        <v>1170</v>
      </c>
      <c r="J1228" s="136">
        <f>Tabla3[[#This Row],[EGRESOS]]/Tabla3[[#This Row],[TC]]</f>
        <v>2208.4888888888891</v>
      </c>
      <c r="K1228" s="136">
        <f>Tabla3[[#This Row],[INGRESOS]]/Tabla3[[#This Row],[TC]]</f>
        <v>0</v>
      </c>
      <c r="L1228" s="8" t="s">
        <v>303</v>
      </c>
      <c r="M1228" s="8" t="s">
        <v>304</v>
      </c>
      <c r="N1228" s="8" t="s">
        <v>20</v>
      </c>
      <c r="O1228" s="8" t="s">
        <v>197</v>
      </c>
      <c r="P1228" s="8" t="s">
        <v>198</v>
      </c>
      <c r="Q1228" s="8" t="s">
        <v>201</v>
      </c>
      <c r="R1228" s="8" t="s">
        <v>597</v>
      </c>
      <c r="S1228" s="8" t="s">
        <v>941</v>
      </c>
      <c r="T1228" s="8" t="s">
        <v>942</v>
      </c>
      <c r="U1228" s="8" t="s">
        <v>258</v>
      </c>
      <c r="V1228" s="8"/>
      <c r="W1228" s="8" t="s">
        <v>306</v>
      </c>
      <c r="X1228" s="8" t="s">
        <v>29</v>
      </c>
      <c r="Y1228" s="8" t="s">
        <v>23</v>
      </c>
    </row>
    <row r="1229" spans="1:25" s="7" customFormat="1" hidden="1" x14ac:dyDescent="0.25">
      <c r="A1229" s="283" t="s">
        <v>725</v>
      </c>
      <c r="B1229" s="260">
        <v>45838</v>
      </c>
      <c r="C1229" s="261" t="s">
        <v>944</v>
      </c>
      <c r="D1229" s="261"/>
      <c r="E1229" s="262">
        <v>0</v>
      </c>
      <c r="F1229" s="262">
        <v>28644071.59</v>
      </c>
      <c r="G1229" s="285">
        <f>Tabla3[[#This Row],[INGRESOS]]-Tabla3[[#This Row],[EGRESOS]]</f>
        <v>28644071.59</v>
      </c>
      <c r="H1229" s="137">
        <v>26772276.289999999</v>
      </c>
      <c r="I1229" s="135">
        <v>1170</v>
      </c>
      <c r="J1229" s="136">
        <f>Tabla3[[#This Row],[EGRESOS]]/Tabla3[[#This Row],[TC]]</f>
        <v>0</v>
      </c>
      <c r="K1229" s="136">
        <f>Tabla3[[#This Row],[INGRESOS]]/Tabla3[[#This Row],[TC]]</f>
        <v>24482.112470085471</v>
      </c>
      <c r="L1229" s="8" t="s">
        <v>303</v>
      </c>
      <c r="M1229" s="8" t="s">
        <v>304</v>
      </c>
      <c r="N1229" s="8" t="s">
        <v>20</v>
      </c>
      <c r="O1229" s="8" t="s">
        <v>197</v>
      </c>
      <c r="P1229" s="8" t="s">
        <v>198</v>
      </c>
      <c r="Q1229" s="8" t="s">
        <v>201</v>
      </c>
      <c r="R1229" s="8" t="s">
        <v>681</v>
      </c>
      <c r="S1229" s="8" t="s">
        <v>682</v>
      </c>
      <c r="T1229" s="8"/>
      <c r="U1229" s="8" t="s">
        <v>269</v>
      </c>
      <c r="V1229" s="8"/>
      <c r="W1229" s="8" t="s">
        <v>306</v>
      </c>
      <c r="X1229" s="8" t="s">
        <v>23</v>
      </c>
      <c r="Y1229" s="8" t="s">
        <v>96</v>
      </c>
    </row>
    <row r="1230" spans="1:25" s="7" customFormat="1" hidden="1" x14ac:dyDescent="0.25">
      <c r="A1230" s="283" t="s">
        <v>725</v>
      </c>
      <c r="B1230" s="260">
        <v>45838</v>
      </c>
      <c r="C1230" s="261" t="s">
        <v>637</v>
      </c>
      <c r="D1230" s="261"/>
      <c r="E1230" s="262">
        <v>171864.43</v>
      </c>
      <c r="F1230" s="262">
        <v>0</v>
      </c>
      <c r="G1230" s="285">
        <f>Tabla3[[#This Row],[INGRESOS]]-Tabla3[[#This Row],[EGRESOS]]</f>
        <v>-171864.43</v>
      </c>
      <c r="H1230" s="137">
        <v>26600411.859999999</v>
      </c>
      <c r="I1230" s="135">
        <v>1170</v>
      </c>
      <c r="J1230" s="136">
        <f>Tabla3[[#This Row],[EGRESOS]]/Tabla3[[#This Row],[TC]]</f>
        <v>146.8926752136752</v>
      </c>
      <c r="K1230" s="136">
        <f>Tabla3[[#This Row],[INGRESOS]]/Tabla3[[#This Row],[TC]]</f>
        <v>0</v>
      </c>
      <c r="L1230" s="8" t="s">
        <v>303</v>
      </c>
      <c r="M1230" s="8" t="s">
        <v>304</v>
      </c>
      <c r="N1230" s="8" t="s">
        <v>20</v>
      </c>
      <c r="O1230" s="8" t="s">
        <v>184</v>
      </c>
      <c r="P1230" s="8" t="s">
        <v>187</v>
      </c>
      <c r="Q1230" s="8" t="s">
        <v>188</v>
      </c>
      <c r="R1230" s="8" t="s">
        <v>317</v>
      </c>
      <c r="S1230" s="8"/>
      <c r="T1230" s="8"/>
      <c r="U1230" s="8" t="s">
        <v>261</v>
      </c>
      <c r="V1230" s="8"/>
      <c r="W1230" s="8" t="s">
        <v>306</v>
      </c>
      <c r="X1230" s="8" t="s">
        <v>98</v>
      </c>
      <c r="Y1230" s="8" t="s">
        <v>23</v>
      </c>
    </row>
    <row r="1231" spans="1:25" s="7" customFormat="1" hidden="1" x14ac:dyDescent="0.25">
      <c r="A1231" s="283" t="s">
        <v>725</v>
      </c>
      <c r="B1231" s="260">
        <v>45838</v>
      </c>
      <c r="C1231" s="261" t="s">
        <v>943</v>
      </c>
      <c r="D1231" s="261"/>
      <c r="E1231" s="262">
        <v>15503.59</v>
      </c>
      <c r="F1231" s="262">
        <v>0</v>
      </c>
      <c r="G1231" s="285">
        <f>Tabla3[[#This Row],[INGRESOS]]-Tabla3[[#This Row],[EGRESOS]]</f>
        <v>-15503.59</v>
      </c>
      <c r="H1231" s="137">
        <v>26584908.27</v>
      </c>
      <c r="I1231" s="135">
        <v>1170</v>
      </c>
      <c r="J1231" s="136">
        <f>Tabla3[[#This Row],[EGRESOS]]/Tabla3[[#This Row],[TC]]</f>
        <v>13.250931623931624</v>
      </c>
      <c r="K1231" s="136">
        <f>Tabla3[[#This Row],[INGRESOS]]/Tabla3[[#This Row],[TC]]</f>
        <v>0</v>
      </c>
      <c r="L1231" s="8" t="s">
        <v>303</v>
      </c>
      <c r="M1231" s="8" t="s">
        <v>304</v>
      </c>
      <c r="N1231" s="8" t="s">
        <v>20</v>
      </c>
      <c r="O1231" s="8" t="s">
        <v>184</v>
      </c>
      <c r="P1231" s="8" t="s">
        <v>187</v>
      </c>
      <c r="Q1231" s="8" t="s">
        <v>188</v>
      </c>
      <c r="R1231" s="8" t="s">
        <v>317</v>
      </c>
      <c r="S1231" s="8"/>
      <c r="T1231" s="8"/>
      <c r="U1231" s="8" t="s">
        <v>261</v>
      </c>
      <c r="V1231" s="8"/>
      <c r="W1231" s="8" t="s">
        <v>306</v>
      </c>
      <c r="X1231" s="8" t="s">
        <v>98</v>
      </c>
      <c r="Y1231" s="8" t="s">
        <v>23</v>
      </c>
    </row>
    <row r="1232" spans="1:25" s="7" customFormat="1" hidden="1" x14ac:dyDescent="0.25">
      <c r="A1232" s="283" t="s">
        <v>726</v>
      </c>
      <c r="B1232" s="260">
        <v>45839</v>
      </c>
      <c r="C1232" s="261" t="s">
        <v>507</v>
      </c>
      <c r="D1232" s="261"/>
      <c r="E1232" s="262">
        <v>8758.66</v>
      </c>
      <c r="F1232" s="262">
        <v>0</v>
      </c>
      <c r="G1232" s="285">
        <f>Tabla3[[#This Row],[INGRESOS]]-Tabla3[[#This Row],[EGRESOS]]</f>
        <v>-8758.66</v>
      </c>
      <c r="H1232" s="137">
        <v>26576149.609999999</v>
      </c>
      <c r="I1232" s="135">
        <v>1170</v>
      </c>
      <c r="J1232" s="136">
        <f>Tabla3[[#This Row],[EGRESOS]]/Tabla3[[#This Row],[TC]]</f>
        <v>7.4860341880341883</v>
      </c>
      <c r="K1232" s="136">
        <f>Tabla3[[#This Row],[INGRESOS]]/Tabla3[[#This Row],[TC]]</f>
        <v>0</v>
      </c>
      <c r="L1232" s="8" t="s">
        <v>303</v>
      </c>
      <c r="M1232" s="8" t="s">
        <v>304</v>
      </c>
      <c r="N1232" s="8" t="s">
        <v>20</v>
      </c>
      <c r="O1232" s="8" t="s">
        <v>184</v>
      </c>
      <c r="P1232" s="8" t="s">
        <v>187</v>
      </c>
      <c r="Q1232" s="8" t="s">
        <v>188</v>
      </c>
      <c r="R1232" s="8" t="s">
        <v>308</v>
      </c>
      <c r="S1232" s="8"/>
      <c r="T1232" s="8"/>
      <c r="U1232" s="8" t="s">
        <v>261</v>
      </c>
      <c r="V1232" s="8"/>
      <c r="W1232" s="8" t="s">
        <v>306</v>
      </c>
      <c r="X1232" s="8" t="s">
        <v>98</v>
      </c>
      <c r="Y1232" s="8" t="s">
        <v>23</v>
      </c>
    </row>
    <row r="1233" spans="1:25" s="7" customFormat="1" hidden="1" x14ac:dyDescent="0.25">
      <c r="A1233" s="283" t="s">
        <v>726</v>
      </c>
      <c r="B1233" s="260">
        <v>45839</v>
      </c>
      <c r="C1233" s="261" t="s">
        <v>508</v>
      </c>
      <c r="D1233" s="261"/>
      <c r="E1233" s="262">
        <v>1251.24</v>
      </c>
      <c r="F1233" s="262">
        <v>0</v>
      </c>
      <c r="G1233" s="285">
        <f>Tabla3[[#This Row],[INGRESOS]]-Tabla3[[#This Row],[EGRESOS]]</f>
        <v>-1251.24</v>
      </c>
      <c r="H1233" s="137">
        <v>26574898.370000001</v>
      </c>
      <c r="I1233" s="135">
        <v>1170</v>
      </c>
      <c r="J1233" s="136">
        <f>Tabla3[[#This Row],[EGRESOS]]/Tabla3[[#This Row],[TC]]</f>
        <v>1.0694358974358975</v>
      </c>
      <c r="K1233" s="136">
        <f>Tabla3[[#This Row],[INGRESOS]]/Tabla3[[#This Row],[TC]]</f>
        <v>0</v>
      </c>
      <c r="L1233" s="8" t="s">
        <v>303</v>
      </c>
      <c r="M1233" s="8" t="s">
        <v>304</v>
      </c>
      <c r="N1233" s="8" t="s">
        <v>20</v>
      </c>
      <c r="O1233" s="8" t="s">
        <v>184</v>
      </c>
      <c r="P1233" s="8" t="s">
        <v>187</v>
      </c>
      <c r="Q1233" s="8" t="s">
        <v>188</v>
      </c>
      <c r="R1233" s="8" t="s">
        <v>334</v>
      </c>
      <c r="S1233" s="8"/>
      <c r="T1233" s="8"/>
      <c r="U1233" s="8" t="s">
        <v>261</v>
      </c>
      <c r="V1233" s="8"/>
      <c r="W1233" s="8" t="s">
        <v>306</v>
      </c>
      <c r="X1233" s="8" t="s">
        <v>98</v>
      </c>
      <c r="Y1233" s="8" t="s">
        <v>23</v>
      </c>
    </row>
    <row r="1234" spans="1:25" s="7" customFormat="1" hidden="1" x14ac:dyDescent="0.25">
      <c r="A1234" s="283" t="s">
        <v>726</v>
      </c>
      <c r="B1234" s="260">
        <v>45839</v>
      </c>
      <c r="C1234" s="261" t="s">
        <v>518</v>
      </c>
      <c r="D1234" s="261"/>
      <c r="E1234" s="262">
        <v>83415.820000000007</v>
      </c>
      <c r="F1234" s="262">
        <v>0</v>
      </c>
      <c r="G1234" s="285">
        <f>Tabla3[[#This Row],[INGRESOS]]-Tabla3[[#This Row],[EGRESOS]]</f>
        <v>-83415.820000000007</v>
      </c>
      <c r="H1234" s="137">
        <v>26491482.550000001</v>
      </c>
      <c r="I1234" s="135">
        <v>1170</v>
      </c>
      <c r="J1234" s="136">
        <f>Tabla3[[#This Row],[EGRESOS]]/Tabla3[[#This Row],[TC]]</f>
        <v>71.295572649572662</v>
      </c>
      <c r="K1234" s="136">
        <f>Tabla3[[#This Row],[INGRESOS]]/Tabla3[[#This Row],[TC]]</f>
        <v>0</v>
      </c>
      <c r="L1234" s="8" t="s">
        <v>303</v>
      </c>
      <c r="M1234" s="8" t="s">
        <v>304</v>
      </c>
      <c r="N1234" s="8" t="s">
        <v>20</v>
      </c>
      <c r="O1234" s="8" t="s">
        <v>184</v>
      </c>
      <c r="P1234" s="8" t="s">
        <v>189</v>
      </c>
      <c r="Q1234" s="8" t="s">
        <v>190</v>
      </c>
      <c r="R1234" s="8"/>
      <c r="S1234" s="8"/>
      <c r="T1234" s="8"/>
      <c r="U1234" s="8" t="s">
        <v>261</v>
      </c>
      <c r="V1234" s="8"/>
      <c r="W1234" s="8" t="s">
        <v>306</v>
      </c>
      <c r="X1234" s="8" t="s">
        <v>98</v>
      </c>
      <c r="Y1234" s="8" t="s">
        <v>23</v>
      </c>
    </row>
    <row r="1235" spans="1:25" s="7" customFormat="1" hidden="1" x14ac:dyDescent="0.25">
      <c r="A1235" s="283" t="s">
        <v>726</v>
      </c>
      <c r="B1235" s="260">
        <v>45839</v>
      </c>
      <c r="C1235" s="261" t="s">
        <v>507</v>
      </c>
      <c r="D1235" s="261"/>
      <c r="E1235" s="262">
        <v>3728.43</v>
      </c>
      <c r="F1235" s="262">
        <v>0</v>
      </c>
      <c r="G1235" s="285">
        <f>Tabla3[[#This Row],[INGRESOS]]-Tabla3[[#This Row],[EGRESOS]]</f>
        <v>-3728.43</v>
      </c>
      <c r="H1235" s="137">
        <v>26487754.120000001</v>
      </c>
      <c r="I1235" s="135">
        <v>1170</v>
      </c>
      <c r="J1235" s="136">
        <f>Tabla3[[#This Row],[EGRESOS]]/Tabla3[[#This Row],[TC]]</f>
        <v>3.1866923076923075</v>
      </c>
      <c r="K1235" s="136">
        <f>Tabla3[[#This Row],[INGRESOS]]/Tabla3[[#This Row],[TC]]</f>
        <v>0</v>
      </c>
      <c r="L1235" s="8" t="s">
        <v>303</v>
      </c>
      <c r="M1235" s="8" t="s">
        <v>304</v>
      </c>
      <c r="N1235" s="8" t="s">
        <v>20</v>
      </c>
      <c r="O1235" s="8" t="s">
        <v>184</v>
      </c>
      <c r="P1235" s="8" t="s">
        <v>187</v>
      </c>
      <c r="Q1235" s="8" t="s">
        <v>188</v>
      </c>
      <c r="R1235" s="8" t="s">
        <v>308</v>
      </c>
      <c r="S1235" s="8"/>
      <c r="T1235" s="8"/>
      <c r="U1235" s="8" t="s">
        <v>261</v>
      </c>
      <c r="V1235" s="8"/>
      <c r="W1235" s="8" t="s">
        <v>306</v>
      </c>
      <c r="X1235" s="8" t="s">
        <v>98</v>
      </c>
      <c r="Y1235" s="8" t="s">
        <v>23</v>
      </c>
    </row>
    <row r="1236" spans="1:25" s="7" customFormat="1" hidden="1" x14ac:dyDescent="0.25">
      <c r="A1236" s="283" t="s">
        <v>726</v>
      </c>
      <c r="B1236" s="260">
        <v>45839</v>
      </c>
      <c r="C1236" s="261" t="s">
        <v>508</v>
      </c>
      <c r="D1236" s="261"/>
      <c r="E1236" s="262">
        <v>532.63</v>
      </c>
      <c r="F1236" s="262">
        <v>0</v>
      </c>
      <c r="G1236" s="285">
        <f>Tabla3[[#This Row],[INGRESOS]]-Tabla3[[#This Row],[EGRESOS]]</f>
        <v>-532.63</v>
      </c>
      <c r="H1236" s="137">
        <v>26487221.489999998</v>
      </c>
      <c r="I1236" s="135">
        <v>1170</v>
      </c>
      <c r="J1236" s="136">
        <f>Tabla3[[#This Row],[EGRESOS]]/Tabla3[[#This Row],[TC]]</f>
        <v>0.45523931623931624</v>
      </c>
      <c r="K1236" s="136">
        <f>Tabla3[[#This Row],[INGRESOS]]/Tabla3[[#This Row],[TC]]</f>
        <v>0</v>
      </c>
      <c r="L1236" s="8" t="s">
        <v>303</v>
      </c>
      <c r="M1236" s="8" t="s">
        <v>304</v>
      </c>
      <c r="N1236" s="8" t="s">
        <v>20</v>
      </c>
      <c r="O1236" s="8" t="s">
        <v>184</v>
      </c>
      <c r="P1236" s="8" t="s">
        <v>187</v>
      </c>
      <c r="Q1236" s="8" t="s">
        <v>188</v>
      </c>
      <c r="R1236" s="8" t="s">
        <v>334</v>
      </c>
      <c r="S1236" s="8"/>
      <c r="T1236" s="8"/>
      <c r="U1236" s="8" t="s">
        <v>261</v>
      </c>
      <c r="V1236" s="8"/>
      <c r="W1236" s="8" t="s">
        <v>306</v>
      </c>
      <c r="X1236" s="8" t="s">
        <v>98</v>
      </c>
      <c r="Y1236" s="8" t="s">
        <v>23</v>
      </c>
    </row>
    <row r="1237" spans="1:25" s="7" customFormat="1" hidden="1" x14ac:dyDescent="0.25">
      <c r="A1237" s="283" t="s">
        <v>726</v>
      </c>
      <c r="B1237" s="260">
        <v>45839</v>
      </c>
      <c r="C1237" s="261" t="s">
        <v>518</v>
      </c>
      <c r="D1237" s="261"/>
      <c r="E1237" s="262">
        <v>35508.85</v>
      </c>
      <c r="F1237" s="262">
        <v>0</v>
      </c>
      <c r="G1237" s="285">
        <f>Tabla3[[#This Row],[INGRESOS]]-Tabla3[[#This Row],[EGRESOS]]</f>
        <v>-35508.85</v>
      </c>
      <c r="H1237" s="137">
        <v>26451712.640000001</v>
      </c>
      <c r="I1237" s="135">
        <v>1170</v>
      </c>
      <c r="J1237" s="136">
        <f>Tabla3[[#This Row],[EGRESOS]]/Tabla3[[#This Row],[TC]]</f>
        <v>30.349444444444444</v>
      </c>
      <c r="K1237" s="136">
        <f>Tabla3[[#This Row],[INGRESOS]]/Tabla3[[#This Row],[TC]]</f>
        <v>0</v>
      </c>
      <c r="L1237" s="8" t="s">
        <v>303</v>
      </c>
      <c r="M1237" s="8" t="s">
        <v>304</v>
      </c>
      <c r="N1237" s="8" t="s">
        <v>20</v>
      </c>
      <c r="O1237" s="8" t="s">
        <v>184</v>
      </c>
      <c r="P1237" s="8" t="s">
        <v>189</v>
      </c>
      <c r="Q1237" s="8" t="s">
        <v>190</v>
      </c>
      <c r="R1237" s="8"/>
      <c r="S1237" s="8"/>
      <c r="T1237" s="8"/>
      <c r="U1237" s="8" t="s">
        <v>261</v>
      </c>
      <c r="V1237" s="8"/>
      <c r="W1237" s="8" t="s">
        <v>306</v>
      </c>
      <c r="X1237" s="8" t="s">
        <v>98</v>
      </c>
      <c r="Y1237" s="8" t="s">
        <v>23</v>
      </c>
    </row>
    <row r="1238" spans="1:25" s="7" customFormat="1" x14ac:dyDescent="0.25">
      <c r="A1238" s="283" t="s">
        <v>726</v>
      </c>
      <c r="B1238" s="260">
        <v>45839</v>
      </c>
      <c r="C1238" s="261" t="s">
        <v>521</v>
      </c>
      <c r="D1238" s="261" t="s">
        <v>946</v>
      </c>
      <c r="E1238" s="262">
        <v>109290</v>
      </c>
      <c r="F1238" s="262">
        <v>0</v>
      </c>
      <c r="G1238" s="285">
        <f>Tabla3[[#This Row],[INGRESOS]]-Tabla3[[#This Row],[EGRESOS]]</f>
        <v>-109290</v>
      </c>
      <c r="H1238" s="137">
        <v>26342422.640000001</v>
      </c>
      <c r="I1238" s="135">
        <v>1170</v>
      </c>
      <c r="J1238" s="136">
        <f>Tabla3[[#This Row],[EGRESOS]]/Tabla3[[#This Row],[TC]]</f>
        <v>93.410256410256409</v>
      </c>
      <c r="K1238" s="136">
        <f>Tabla3[[#This Row],[INGRESOS]]/Tabla3[[#This Row],[TC]]</f>
        <v>0</v>
      </c>
      <c r="L1238" s="8" t="s">
        <v>303</v>
      </c>
      <c r="M1238" s="8" t="s">
        <v>304</v>
      </c>
      <c r="N1238" s="8" t="s">
        <v>20</v>
      </c>
      <c r="O1238" s="8" t="s">
        <v>742</v>
      </c>
      <c r="P1238" s="8" t="s">
        <v>220</v>
      </c>
      <c r="Q1238" s="8" t="s">
        <v>222</v>
      </c>
      <c r="R1238" s="8"/>
      <c r="S1238" s="8" t="s">
        <v>529</v>
      </c>
      <c r="T1238" s="8" t="s">
        <v>948</v>
      </c>
      <c r="U1238" s="8" t="s">
        <v>258</v>
      </c>
      <c r="V1238" s="8"/>
      <c r="W1238" s="8" t="s">
        <v>306</v>
      </c>
      <c r="X1238" s="8" t="s">
        <v>29</v>
      </c>
      <c r="Y1238" s="8" t="s">
        <v>23</v>
      </c>
    </row>
    <row r="1239" spans="1:25" s="7" customFormat="1" hidden="1" x14ac:dyDescent="0.25">
      <c r="A1239" s="283" t="s">
        <v>726</v>
      </c>
      <c r="B1239" s="260">
        <v>45839</v>
      </c>
      <c r="C1239" s="261" t="s">
        <v>561</v>
      </c>
      <c r="D1239" s="261" t="s">
        <v>945</v>
      </c>
      <c r="E1239" s="262">
        <v>15000000</v>
      </c>
      <c r="F1239" s="262">
        <v>0</v>
      </c>
      <c r="G1239" s="285">
        <f>Tabla3[[#This Row],[INGRESOS]]-Tabla3[[#This Row],[EGRESOS]]</f>
        <v>-15000000</v>
      </c>
      <c r="H1239" s="137">
        <v>11342422.640000001</v>
      </c>
      <c r="I1239" s="135">
        <v>1170</v>
      </c>
      <c r="J1239" s="136">
        <f>Tabla3[[#This Row],[EGRESOS]]/Tabla3[[#This Row],[TC]]</f>
        <v>12820.51282051282</v>
      </c>
      <c r="K1239" s="136">
        <f>Tabla3[[#This Row],[INGRESOS]]/Tabla3[[#This Row],[TC]]</f>
        <v>0</v>
      </c>
      <c r="L1239" s="8" t="s">
        <v>303</v>
      </c>
      <c r="M1239" s="8" t="s">
        <v>304</v>
      </c>
      <c r="N1239" s="8" t="s">
        <v>20</v>
      </c>
      <c r="O1239" s="8" t="s">
        <v>197</v>
      </c>
      <c r="P1239" s="8" t="s">
        <v>198</v>
      </c>
      <c r="Q1239" s="8" t="s">
        <v>201</v>
      </c>
      <c r="R1239" s="8" t="s">
        <v>947</v>
      </c>
      <c r="S1239" s="8" t="s">
        <v>57</v>
      </c>
      <c r="T1239" s="8"/>
      <c r="U1239" s="8" t="s">
        <v>258</v>
      </c>
      <c r="V1239" s="8"/>
      <c r="W1239" s="8" t="s">
        <v>306</v>
      </c>
      <c r="X1239" s="8" t="s">
        <v>41</v>
      </c>
      <c r="Y1239" s="8" t="s">
        <v>23</v>
      </c>
    </row>
    <row r="1240" spans="1:25" s="7" customFormat="1" hidden="1" x14ac:dyDescent="0.25">
      <c r="A1240" s="283" t="s">
        <v>726</v>
      </c>
      <c r="B1240" s="260">
        <v>45839</v>
      </c>
      <c r="C1240" s="261" t="s">
        <v>542</v>
      </c>
      <c r="D1240" s="261"/>
      <c r="E1240" s="262">
        <v>85232</v>
      </c>
      <c r="F1240" s="262">
        <v>0</v>
      </c>
      <c r="G1240" s="285">
        <f>Tabla3[[#This Row],[INGRESOS]]-Tabla3[[#This Row],[EGRESOS]]</f>
        <v>-85232</v>
      </c>
      <c r="H1240" s="137">
        <v>11257190.640000001</v>
      </c>
      <c r="I1240" s="135">
        <v>1170</v>
      </c>
      <c r="J1240" s="136">
        <f>Tabla3[[#This Row],[EGRESOS]]/Tabla3[[#This Row],[TC]]</f>
        <v>72.847863247863245</v>
      </c>
      <c r="K1240" s="136">
        <f>Tabla3[[#This Row],[INGRESOS]]/Tabla3[[#This Row],[TC]]</f>
        <v>0</v>
      </c>
      <c r="L1240" s="8" t="s">
        <v>303</v>
      </c>
      <c r="M1240" s="8" t="s">
        <v>304</v>
      </c>
      <c r="N1240" s="8" t="s">
        <v>20</v>
      </c>
      <c r="O1240" s="8" t="s">
        <v>204</v>
      </c>
      <c r="P1240" s="8" t="s">
        <v>210</v>
      </c>
      <c r="Q1240" s="8" t="s">
        <v>211</v>
      </c>
      <c r="R1240" s="8"/>
      <c r="S1240" s="8" t="s">
        <v>650</v>
      </c>
      <c r="T1240" s="8"/>
      <c r="U1240" s="8" t="s">
        <v>258</v>
      </c>
      <c r="V1240" s="8"/>
      <c r="W1240" s="8" t="s">
        <v>306</v>
      </c>
      <c r="X1240" s="8" t="s">
        <v>29</v>
      </c>
      <c r="Y1240" s="8" t="s">
        <v>23</v>
      </c>
    </row>
    <row r="1241" spans="1:25" s="7" customFormat="1" hidden="1" x14ac:dyDescent="0.25">
      <c r="A1241" s="283" t="s">
        <v>726</v>
      </c>
      <c r="B1241" s="260">
        <v>45839</v>
      </c>
      <c r="C1241" s="261" t="s">
        <v>542</v>
      </c>
      <c r="D1241" s="261"/>
      <c r="E1241" s="262">
        <v>96280</v>
      </c>
      <c r="F1241" s="262">
        <v>0</v>
      </c>
      <c r="G1241" s="285">
        <f>Tabla3[[#This Row],[INGRESOS]]-Tabla3[[#This Row],[EGRESOS]]</f>
        <v>-96280</v>
      </c>
      <c r="H1241" s="137">
        <v>11160910.640000001</v>
      </c>
      <c r="I1241" s="135">
        <v>1170</v>
      </c>
      <c r="J1241" s="136">
        <f>Tabla3[[#This Row],[EGRESOS]]/Tabla3[[#This Row],[TC]]</f>
        <v>82.290598290598297</v>
      </c>
      <c r="K1241" s="136">
        <f>Tabla3[[#This Row],[INGRESOS]]/Tabla3[[#This Row],[TC]]</f>
        <v>0</v>
      </c>
      <c r="L1241" s="8" t="s">
        <v>303</v>
      </c>
      <c r="M1241" s="8" t="s">
        <v>304</v>
      </c>
      <c r="N1241" s="8" t="s">
        <v>20</v>
      </c>
      <c r="O1241" s="8" t="s">
        <v>184</v>
      </c>
      <c r="P1241" s="8" t="s">
        <v>185</v>
      </c>
      <c r="Q1241" s="8" t="s">
        <v>227</v>
      </c>
      <c r="R1241" s="8" t="s">
        <v>952</v>
      </c>
      <c r="S1241" s="8" t="s">
        <v>311</v>
      </c>
      <c r="T1241" s="8"/>
      <c r="U1241" s="8" t="s">
        <v>261</v>
      </c>
      <c r="V1241" s="8" t="s">
        <v>311</v>
      </c>
      <c r="W1241" s="8" t="s">
        <v>306</v>
      </c>
      <c r="X1241" s="8" t="s">
        <v>98</v>
      </c>
      <c r="Y1241" s="8" t="s">
        <v>23</v>
      </c>
    </row>
    <row r="1242" spans="1:25" s="7" customFormat="1" hidden="1" x14ac:dyDescent="0.25">
      <c r="A1242" s="283" t="s">
        <v>726</v>
      </c>
      <c r="B1242" s="260">
        <v>45839</v>
      </c>
      <c r="C1242" s="261" t="s">
        <v>323</v>
      </c>
      <c r="D1242" s="261"/>
      <c r="E1242" s="262">
        <v>770000</v>
      </c>
      <c r="F1242" s="262">
        <v>0</v>
      </c>
      <c r="G1242" s="285">
        <f>Tabla3[[#This Row],[INGRESOS]]-Tabla3[[#This Row],[EGRESOS]]</f>
        <v>-770000</v>
      </c>
      <c r="H1242" s="137">
        <v>10390910.640000001</v>
      </c>
      <c r="I1242" s="135">
        <v>1170</v>
      </c>
      <c r="J1242" s="136">
        <f>Tabla3[[#This Row],[EGRESOS]]/Tabla3[[#This Row],[TC]]</f>
        <v>658.11965811965808</v>
      </c>
      <c r="K1242" s="136">
        <f>Tabla3[[#This Row],[INGRESOS]]/Tabla3[[#This Row],[TC]]</f>
        <v>0</v>
      </c>
      <c r="L1242" s="8" t="s">
        <v>303</v>
      </c>
      <c r="M1242" s="8" t="s">
        <v>304</v>
      </c>
      <c r="N1242" s="8" t="s">
        <v>20</v>
      </c>
      <c r="O1242" s="8" t="s">
        <v>214</v>
      </c>
      <c r="P1242" s="8" t="s">
        <v>216</v>
      </c>
      <c r="Q1242" s="8" t="s">
        <v>217</v>
      </c>
      <c r="R1242" s="8" t="s">
        <v>481</v>
      </c>
      <c r="S1242" s="8"/>
      <c r="T1242" s="8"/>
      <c r="U1242" s="8" t="s">
        <v>262</v>
      </c>
      <c r="V1242" s="8"/>
      <c r="W1242" s="8"/>
      <c r="X1242" s="8"/>
      <c r="Y1242" s="8"/>
    </row>
    <row r="1243" spans="1:25" s="7" customFormat="1" hidden="1" x14ac:dyDescent="0.25">
      <c r="A1243" s="283" t="s">
        <v>726</v>
      </c>
      <c r="B1243" s="260">
        <v>45839</v>
      </c>
      <c r="C1243" s="261" t="s">
        <v>571</v>
      </c>
      <c r="D1243" s="261"/>
      <c r="E1243" s="262">
        <v>121</v>
      </c>
      <c r="F1243" s="262">
        <v>0</v>
      </c>
      <c r="G1243" s="285">
        <f>Tabla3[[#This Row],[INGRESOS]]-Tabla3[[#This Row],[EGRESOS]]</f>
        <v>-121</v>
      </c>
      <c r="H1243" s="137">
        <v>10390789.640000001</v>
      </c>
      <c r="I1243" s="135">
        <v>1170</v>
      </c>
      <c r="J1243" s="136">
        <f>Tabla3[[#This Row],[EGRESOS]]/Tabla3[[#This Row],[TC]]</f>
        <v>0.10341880341880341</v>
      </c>
      <c r="K1243" s="136">
        <f>Tabla3[[#This Row],[INGRESOS]]/Tabla3[[#This Row],[TC]]</f>
        <v>0</v>
      </c>
      <c r="L1243" s="8" t="s">
        <v>303</v>
      </c>
      <c r="M1243" s="8" t="s">
        <v>304</v>
      </c>
      <c r="N1243" s="8" t="s">
        <v>20</v>
      </c>
      <c r="O1243" s="8" t="s">
        <v>184</v>
      </c>
      <c r="P1243" s="8" t="s">
        <v>185</v>
      </c>
      <c r="Q1243" s="8" t="s">
        <v>186</v>
      </c>
      <c r="R1243" s="8"/>
      <c r="S1243" s="8"/>
      <c r="T1243" s="8"/>
      <c r="U1243" s="8" t="s">
        <v>261</v>
      </c>
      <c r="V1243" s="8"/>
      <c r="W1243" s="8" t="s">
        <v>306</v>
      </c>
      <c r="X1243" s="8" t="s">
        <v>98</v>
      </c>
      <c r="Y1243" s="8" t="s">
        <v>23</v>
      </c>
    </row>
    <row r="1244" spans="1:25" s="7" customFormat="1" hidden="1" x14ac:dyDescent="0.25">
      <c r="A1244" s="283" t="s">
        <v>726</v>
      </c>
      <c r="B1244" s="260">
        <v>45839</v>
      </c>
      <c r="C1244" s="261" t="s">
        <v>542</v>
      </c>
      <c r="D1244" s="261"/>
      <c r="E1244" s="262">
        <v>2036480.56</v>
      </c>
      <c r="F1244" s="262">
        <v>0</v>
      </c>
      <c r="G1244" s="285">
        <f>Tabla3[[#This Row],[INGRESOS]]-Tabla3[[#This Row],[EGRESOS]]</f>
        <v>-2036480.56</v>
      </c>
      <c r="H1244" s="137">
        <v>8354309.0800000001</v>
      </c>
      <c r="I1244" s="135">
        <v>1170</v>
      </c>
      <c r="J1244" s="136">
        <f>Tabla3[[#This Row],[EGRESOS]]/Tabla3[[#This Row],[TC]]</f>
        <v>1740.5816752136752</v>
      </c>
      <c r="K1244" s="136">
        <f>Tabla3[[#This Row],[INGRESOS]]/Tabla3[[#This Row],[TC]]</f>
        <v>0</v>
      </c>
      <c r="L1244" s="8" t="s">
        <v>303</v>
      </c>
      <c r="M1244" s="8" t="s">
        <v>304</v>
      </c>
      <c r="N1244" s="8" t="s">
        <v>20</v>
      </c>
      <c r="O1244" s="8" t="s">
        <v>184</v>
      </c>
      <c r="P1244" s="8" t="s">
        <v>1064</v>
      </c>
      <c r="Q1244" s="8" t="s">
        <v>1065</v>
      </c>
      <c r="R1244" s="8"/>
      <c r="S1244" s="8" t="s">
        <v>951</v>
      </c>
      <c r="T1244" s="8"/>
      <c r="U1244" s="8" t="s">
        <v>261</v>
      </c>
      <c r="V1244" s="8"/>
      <c r="W1244" s="8" t="s">
        <v>306</v>
      </c>
      <c r="X1244" s="8" t="s">
        <v>98</v>
      </c>
      <c r="Y1244" s="8" t="s">
        <v>23</v>
      </c>
    </row>
    <row r="1245" spans="1:25" s="7" customFormat="1" hidden="1" x14ac:dyDescent="0.25">
      <c r="A1245" s="283" t="s">
        <v>726</v>
      </c>
      <c r="B1245" s="260">
        <v>45839</v>
      </c>
      <c r="C1245" s="261" t="s">
        <v>571</v>
      </c>
      <c r="D1245" s="261"/>
      <c r="E1245" s="262">
        <v>121</v>
      </c>
      <c r="F1245" s="262">
        <v>0</v>
      </c>
      <c r="G1245" s="285">
        <f>Tabla3[[#This Row],[INGRESOS]]-Tabla3[[#This Row],[EGRESOS]]</f>
        <v>-121</v>
      </c>
      <c r="H1245" s="137">
        <v>8354188.0800000001</v>
      </c>
      <c r="I1245" s="135">
        <v>1170</v>
      </c>
      <c r="J1245" s="136">
        <f>Tabla3[[#This Row],[EGRESOS]]/Tabla3[[#This Row],[TC]]</f>
        <v>0.10341880341880341</v>
      </c>
      <c r="K1245" s="136">
        <f>Tabla3[[#This Row],[INGRESOS]]/Tabla3[[#This Row],[TC]]</f>
        <v>0</v>
      </c>
      <c r="L1245" s="8" t="s">
        <v>303</v>
      </c>
      <c r="M1245" s="8" t="s">
        <v>304</v>
      </c>
      <c r="N1245" s="8" t="s">
        <v>20</v>
      </c>
      <c r="O1245" s="8" t="s">
        <v>184</v>
      </c>
      <c r="P1245" s="8" t="s">
        <v>185</v>
      </c>
      <c r="Q1245" s="8" t="s">
        <v>186</v>
      </c>
      <c r="R1245" s="8"/>
      <c r="S1245" s="8"/>
      <c r="T1245" s="8"/>
      <c r="U1245" s="8" t="s">
        <v>261</v>
      </c>
      <c r="V1245" s="8"/>
      <c r="W1245" s="8" t="s">
        <v>306</v>
      </c>
      <c r="X1245" s="8" t="s">
        <v>98</v>
      </c>
      <c r="Y1245" s="8" t="s">
        <v>23</v>
      </c>
    </row>
    <row r="1246" spans="1:25" s="7" customFormat="1" hidden="1" x14ac:dyDescent="0.25">
      <c r="A1246" s="283" t="s">
        <v>726</v>
      </c>
      <c r="B1246" s="260">
        <v>45839</v>
      </c>
      <c r="C1246" s="261" t="s">
        <v>542</v>
      </c>
      <c r="D1246" s="261"/>
      <c r="E1246" s="262">
        <v>1500000</v>
      </c>
      <c r="F1246" s="262">
        <v>0</v>
      </c>
      <c r="G1246" s="285">
        <f>Tabla3[[#This Row],[INGRESOS]]-Tabla3[[#This Row],[EGRESOS]]</f>
        <v>-1500000</v>
      </c>
      <c r="H1246" s="137">
        <v>6854188.0800000001</v>
      </c>
      <c r="I1246" s="135">
        <v>1170</v>
      </c>
      <c r="J1246" s="136">
        <f>Tabla3[[#This Row],[EGRESOS]]/Tabla3[[#This Row],[TC]]</f>
        <v>1282.051282051282</v>
      </c>
      <c r="K1246" s="136">
        <f>Tabla3[[#This Row],[INGRESOS]]/Tabla3[[#This Row],[TC]]</f>
        <v>0</v>
      </c>
      <c r="L1246" s="8" t="s">
        <v>303</v>
      </c>
      <c r="M1246" s="8" t="s">
        <v>304</v>
      </c>
      <c r="N1246" s="8" t="s">
        <v>20</v>
      </c>
      <c r="O1246" s="8" t="s">
        <v>184</v>
      </c>
      <c r="P1246" s="8" t="s">
        <v>237</v>
      </c>
      <c r="Q1246" s="8" t="s">
        <v>804</v>
      </c>
      <c r="R1246" s="8"/>
      <c r="S1246" s="8" t="s">
        <v>418</v>
      </c>
      <c r="T1246" s="8"/>
      <c r="U1246" s="8" t="s">
        <v>273</v>
      </c>
      <c r="V1246" s="8"/>
      <c r="W1246" s="8" t="s">
        <v>306</v>
      </c>
      <c r="X1246" s="8" t="s">
        <v>953</v>
      </c>
      <c r="Y1246" s="8" t="s">
        <v>23</v>
      </c>
    </row>
    <row r="1247" spans="1:25" s="7" customFormat="1" hidden="1" x14ac:dyDescent="0.25">
      <c r="A1247" s="283" t="s">
        <v>726</v>
      </c>
      <c r="B1247" s="260">
        <v>45839</v>
      </c>
      <c r="C1247" s="261" t="s">
        <v>571</v>
      </c>
      <c r="D1247" s="261"/>
      <c r="E1247" s="262">
        <v>121</v>
      </c>
      <c r="F1247" s="262">
        <v>0</v>
      </c>
      <c r="G1247" s="285">
        <f>Tabla3[[#This Row],[INGRESOS]]-Tabla3[[#This Row],[EGRESOS]]</f>
        <v>-121</v>
      </c>
      <c r="H1247" s="137">
        <v>6854067.0800000001</v>
      </c>
      <c r="I1247" s="135">
        <v>1170</v>
      </c>
      <c r="J1247" s="136">
        <f>Tabla3[[#This Row],[EGRESOS]]/Tabla3[[#This Row],[TC]]</f>
        <v>0.10341880341880341</v>
      </c>
      <c r="K1247" s="136">
        <f>Tabla3[[#This Row],[INGRESOS]]/Tabla3[[#This Row],[TC]]</f>
        <v>0</v>
      </c>
      <c r="L1247" s="8" t="s">
        <v>303</v>
      </c>
      <c r="M1247" s="8" t="s">
        <v>304</v>
      </c>
      <c r="N1247" s="8" t="s">
        <v>20</v>
      </c>
      <c r="O1247" s="8" t="s">
        <v>184</v>
      </c>
      <c r="P1247" s="8" t="s">
        <v>185</v>
      </c>
      <c r="Q1247" s="8" t="s">
        <v>186</v>
      </c>
      <c r="R1247" s="8"/>
      <c r="S1247" s="8"/>
      <c r="T1247" s="8"/>
      <c r="U1247" s="8" t="s">
        <v>261</v>
      </c>
      <c r="V1247" s="8"/>
      <c r="W1247" s="8" t="s">
        <v>306</v>
      </c>
      <c r="X1247" s="8" t="s">
        <v>98</v>
      </c>
      <c r="Y1247" s="8" t="s">
        <v>23</v>
      </c>
    </row>
    <row r="1248" spans="1:25" s="7" customFormat="1" hidden="1" x14ac:dyDescent="0.25">
      <c r="A1248" s="283" t="s">
        <v>726</v>
      </c>
      <c r="B1248" s="260">
        <v>45839</v>
      </c>
      <c r="C1248" s="261" t="s">
        <v>590</v>
      </c>
      <c r="D1248" s="261"/>
      <c r="E1248" s="262">
        <v>2159.8000000000002</v>
      </c>
      <c r="F1248" s="262">
        <v>0</v>
      </c>
      <c r="G1248" s="285">
        <f>Tabla3[[#This Row],[INGRESOS]]-Tabla3[[#This Row],[EGRESOS]]</f>
        <v>-2159.8000000000002</v>
      </c>
      <c r="H1248" s="137">
        <v>6851907.2800000003</v>
      </c>
      <c r="I1248" s="135">
        <v>1170</v>
      </c>
      <c r="J1248" s="136">
        <f>Tabla3[[#This Row],[EGRESOS]]/Tabla3[[#This Row],[TC]]</f>
        <v>1.845982905982906</v>
      </c>
      <c r="K1248" s="136">
        <f>Tabla3[[#This Row],[INGRESOS]]/Tabla3[[#This Row],[TC]]</f>
        <v>0</v>
      </c>
      <c r="L1248" s="8" t="s">
        <v>303</v>
      </c>
      <c r="M1248" s="8" t="s">
        <v>304</v>
      </c>
      <c r="N1248" s="8" t="s">
        <v>20</v>
      </c>
      <c r="O1248" s="8" t="s">
        <v>184</v>
      </c>
      <c r="P1248" s="8" t="s">
        <v>187</v>
      </c>
      <c r="Q1248" s="8" t="s">
        <v>188</v>
      </c>
      <c r="R1248" s="8" t="s">
        <v>339</v>
      </c>
      <c r="S1248" s="8"/>
      <c r="T1248" s="8"/>
      <c r="U1248" s="8" t="s">
        <v>261</v>
      </c>
      <c r="V1248" s="8"/>
      <c r="W1248" s="8" t="s">
        <v>306</v>
      </c>
      <c r="X1248" s="8" t="s">
        <v>98</v>
      </c>
      <c r="Y1248" s="8" t="s">
        <v>23</v>
      </c>
    </row>
    <row r="1249" spans="1:25" s="7" customFormat="1" hidden="1" x14ac:dyDescent="0.25">
      <c r="A1249" s="283" t="s">
        <v>726</v>
      </c>
      <c r="B1249" s="260">
        <v>45839</v>
      </c>
      <c r="C1249" s="261" t="s">
        <v>590</v>
      </c>
      <c r="D1249" s="261"/>
      <c r="E1249" s="262">
        <v>886.2</v>
      </c>
      <c r="F1249" s="262">
        <v>0</v>
      </c>
      <c r="G1249" s="285">
        <f>Tabla3[[#This Row],[INGRESOS]]-Tabla3[[#This Row],[EGRESOS]]</f>
        <v>-886.2</v>
      </c>
      <c r="H1249" s="137">
        <v>6851021.0800000001</v>
      </c>
      <c r="I1249" s="135">
        <v>1170</v>
      </c>
      <c r="J1249" s="136">
        <f>Tabla3[[#This Row],[EGRESOS]]/Tabla3[[#This Row],[TC]]</f>
        <v>0.75743589743589745</v>
      </c>
      <c r="K1249" s="136">
        <f>Tabla3[[#This Row],[INGRESOS]]/Tabla3[[#This Row],[TC]]</f>
        <v>0</v>
      </c>
      <c r="L1249" s="8" t="s">
        <v>303</v>
      </c>
      <c r="M1249" s="8" t="s">
        <v>304</v>
      </c>
      <c r="N1249" s="8" t="s">
        <v>20</v>
      </c>
      <c r="O1249" s="8" t="s">
        <v>184</v>
      </c>
      <c r="P1249" s="8" t="s">
        <v>187</v>
      </c>
      <c r="Q1249" s="8" t="s">
        <v>188</v>
      </c>
      <c r="R1249" s="8" t="s">
        <v>339</v>
      </c>
      <c r="S1249" s="8"/>
      <c r="T1249" s="8"/>
      <c r="U1249" s="8" t="s">
        <v>261</v>
      </c>
      <c r="V1249" s="8"/>
      <c r="W1249" s="8" t="s">
        <v>306</v>
      </c>
      <c r="X1249" s="8" t="s">
        <v>98</v>
      </c>
      <c r="Y1249" s="8" t="s">
        <v>23</v>
      </c>
    </row>
    <row r="1250" spans="1:25" s="7" customFormat="1" hidden="1" x14ac:dyDescent="0.25">
      <c r="A1250" s="283" t="s">
        <v>726</v>
      </c>
      <c r="B1250" s="260">
        <v>45839</v>
      </c>
      <c r="C1250" s="261" t="s">
        <v>943</v>
      </c>
      <c r="D1250" s="261"/>
      <c r="E1250" s="262">
        <v>113783.33</v>
      </c>
      <c r="F1250" s="262">
        <v>0</v>
      </c>
      <c r="G1250" s="285">
        <f>Tabla3[[#This Row],[INGRESOS]]-Tabla3[[#This Row],[EGRESOS]]</f>
        <v>-113783.33</v>
      </c>
      <c r="H1250" s="137">
        <v>6737237.75</v>
      </c>
      <c r="I1250" s="135">
        <v>1170</v>
      </c>
      <c r="J1250" s="136">
        <f>Tabla3[[#This Row],[EGRESOS]]/Tabla3[[#This Row],[TC]]</f>
        <v>97.2507094017094</v>
      </c>
      <c r="K1250" s="136">
        <f>Tabla3[[#This Row],[INGRESOS]]/Tabla3[[#This Row],[TC]]</f>
        <v>0</v>
      </c>
      <c r="L1250" s="8" t="s">
        <v>303</v>
      </c>
      <c r="M1250" s="8" t="s">
        <v>304</v>
      </c>
      <c r="N1250" s="8" t="s">
        <v>20</v>
      </c>
      <c r="O1250" s="8" t="s">
        <v>184</v>
      </c>
      <c r="P1250" s="8" t="s">
        <v>187</v>
      </c>
      <c r="Q1250" s="8" t="s">
        <v>188</v>
      </c>
      <c r="R1250" s="8" t="s">
        <v>317</v>
      </c>
      <c r="S1250" s="8"/>
      <c r="T1250" s="8"/>
      <c r="U1250" s="8" t="s">
        <v>261</v>
      </c>
      <c r="V1250" s="8"/>
      <c r="W1250" s="8" t="s">
        <v>306</v>
      </c>
      <c r="X1250" s="8" t="s">
        <v>98</v>
      </c>
      <c r="Y1250" s="8" t="s">
        <v>23</v>
      </c>
    </row>
    <row r="1251" spans="1:25" s="7" customFormat="1" hidden="1" x14ac:dyDescent="0.25">
      <c r="A1251" s="283" t="s">
        <v>726</v>
      </c>
      <c r="B1251" s="260">
        <v>45839</v>
      </c>
      <c r="C1251" s="261" t="s">
        <v>537</v>
      </c>
      <c r="D1251" s="261"/>
      <c r="E1251" s="262">
        <v>804944.65</v>
      </c>
      <c r="F1251" s="262">
        <v>0</v>
      </c>
      <c r="G1251" s="285">
        <f>Tabla3[[#This Row],[INGRESOS]]-Tabla3[[#This Row],[EGRESOS]]</f>
        <v>-804944.65</v>
      </c>
      <c r="H1251" s="137">
        <v>5932293.0999999996</v>
      </c>
      <c r="I1251" s="135">
        <v>1170</v>
      </c>
      <c r="J1251" s="136">
        <f>Tabla3[[#This Row],[EGRESOS]]/Tabla3[[#This Row],[TC]]</f>
        <v>687.98688034188035</v>
      </c>
      <c r="K1251" s="136">
        <f>Tabla3[[#This Row],[INGRESOS]]/Tabla3[[#This Row],[TC]]</f>
        <v>0</v>
      </c>
      <c r="L1251" s="8" t="s">
        <v>303</v>
      </c>
      <c r="M1251" s="8" t="s">
        <v>304</v>
      </c>
      <c r="N1251" s="8" t="s">
        <v>20</v>
      </c>
      <c r="O1251" s="8" t="s">
        <v>214</v>
      </c>
      <c r="P1251" s="8" t="s">
        <v>216</v>
      </c>
      <c r="Q1251" s="8" t="s">
        <v>217</v>
      </c>
      <c r="R1251" s="8" t="s">
        <v>388</v>
      </c>
      <c r="S1251" s="8"/>
      <c r="T1251" s="8"/>
      <c r="U1251" s="8" t="s">
        <v>262</v>
      </c>
      <c r="V1251" s="8"/>
      <c r="W1251" s="8" t="s">
        <v>306</v>
      </c>
      <c r="X1251" s="8"/>
      <c r="Y1251" s="8"/>
    </row>
    <row r="1252" spans="1:25" s="7" customFormat="1" hidden="1" x14ac:dyDescent="0.25">
      <c r="A1252" s="283" t="s">
        <v>726</v>
      </c>
      <c r="B1252" s="260">
        <v>45840</v>
      </c>
      <c r="C1252" s="261" t="s">
        <v>323</v>
      </c>
      <c r="D1252" s="261"/>
      <c r="E1252" s="262">
        <v>50000</v>
      </c>
      <c r="F1252" s="262">
        <v>0</v>
      </c>
      <c r="G1252" s="285">
        <f>Tabla3[[#This Row],[INGRESOS]]-Tabla3[[#This Row],[EGRESOS]]</f>
        <v>-50000</v>
      </c>
      <c r="H1252" s="285">
        <v>5882293.0999999996</v>
      </c>
      <c r="I1252" s="135">
        <v>1170</v>
      </c>
      <c r="J1252" s="136">
        <f>Tabla3[[#This Row],[EGRESOS]]/Tabla3[[#This Row],[TC]]</f>
        <v>42.735042735042732</v>
      </c>
      <c r="K1252" s="136">
        <f>Tabla3[[#This Row],[INGRESOS]]/Tabla3[[#This Row],[TC]]</f>
        <v>0</v>
      </c>
      <c r="L1252" s="8" t="s">
        <v>303</v>
      </c>
      <c r="M1252" s="8" t="s">
        <v>304</v>
      </c>
      <c r="N1252" s="8" t="s">
        <v>20</v>
      </c>
      <c r="O1252" s="8" t="s">
        <v>214</v>
      </c>
      <c r="P1252" s="8" t="s">
        <v>216</v>
      </c>
      <c r="Q1252" s="8" t="s">
        <v>217</v>
      </c>
      <c r="R1252" s="8" t="s">
        <v>664</v>
      </c>
      <c r="S1252" s="8"/>
      <c r="T1252" s="8"/>
      <c r="U1252" s="8" t="s">
        <v>262</v>
      </c>
      <c r="V1252" s="8"/>
      <c r="W1252" s="8" t="s">
        <v>306</v>
      </c>
      <c r="X1252" s="8"/>
      <c r="Y1252" s="8"/>
    </row>
    <row r="1253" spans="1:25" s="7" customFormat="1" hidden="1" x14ac:dyDescent="0.25">
      <c r="A1253" s="283" t="s">
        <v>726</v>
      </c>
      <c r="B1253" s="260">
        <v>45840</v>
      </c>
      <c r="C1253" s="261" t="s">
        <v>323</v>
      </c>
      <c r="D1253" s="261"/>
      <c r="E1253" s="262">
        <v>2000000</v>
      </c>
      <c r="F1253" s="262">
        <v>0</v>
      </c>
      <c r="G1253" s="285">
        <f>Tabla3[[#This Row],[INGRESOS]]-Tabla3[[#This Row],[EGRESOS]]</f>
        <v>-2000000</v>
      </c>
      <c r="H1253" s="285">
        <v>3882293.1</v>
      </c>
      <c r="I1253" s="135">
        <v>1170</v>
      </c>
      <c r="J1253" s="136">
        <f>Tabla3[[#This Row],[EGRESOS]]/Tabla3[[#This Row],[TC]]</f>
        <v>1709.4017094017095</v>
      </c>
      <c r="K1253" s="136">
        <f>Tabla3[[#This Row],[INGRESOS]]/Tabla3[[#This Row],[TC]]</f>
        <v>0</v>
      </c>
      <c r="L1253" s="8" t="s">
        <v>303</v>
      </c>
      <c r="M1253" s="8" t="s">
        <v>304</v>
      </c>
      <c r="N1253" s="8" t="s">
        <v>20</v>
      </c>
      <c r="O1253" s="8" t="s">
        <v>214</v>
      </c>
      <c r="P1253" s="8" t="s">
        <v>216</v>
      </c>
      <c r="Q1253" s="8" t="s">
        <v>217</v>
      </c>
      <c r="R1253" s="8" t="s">
        <v>360</v>
      </c>
      <c r="S1253" s="8"/>
      <c r="T1253" s="8"/>
      <c r="U1253" s="8" t="s">
        <v>262</v>
      </c>
      <c r="V1253" s="8"/>
      <c r="W1253" s="8" t="s">
        <v>306</v>
      </c>
      <c r="X1253" s="8"/>
      <c r="Y1253" s="8"/>
    </row>
    <row r="1254" spans="1:25" s="7" customFormat="1" hidden="1" x14ac:dyDescent="0.25">
      <c r="A1254" s="283" t="s">
        <v>726</v>
      </c>
      <c r="B1254" s="260">
        <v>45840</v>
      </c>
      <c r="C1254" s="261" t="s">
        <v>571</v>
      </c>
      <c r="D1254" s="261"/>
      <c r="E1254" s="262">
        <v>121</v>
      </c>
      <c r="F1254" s="262">
        <v>0</v>
      </c>
      <c r="G1254" s="285">
        <f>Tabla3[[#This Row],[INGRESOS]]-Tabla3[[#This Row],[EGRESOS]]</f>
        <v>-121</v>
      </c>
      <c r="H1254" s="285">
        <v>3882172.1</v>
      </c>
      <c r="I1254" s="135">
        <v>1170</v>
      </c>
      <c r="J1254" s="136">
        <f>Tabla3[[#This Row],[EGRESOS]]/Tabla3[[#This Row],[TC]]</f>
        <v>0.10341880341880341</v>
      </c>
      <c r="K1254" s="136">
        <f>Tabla3[[#This Row],[INGRESOS]]/Tabla3[[#This Row],[TC]]</f>
        <v>0</v>
      </c>
      <c r="L1254" s="8" t="s">
        <v>303</v>
      </c>
      <c r="M1254" s="8" t="s">
        <v>304</v>
      </c>
      <c r="N1254" s="8" t="s">
        <v>20</v>
      </c>
      <c r="O1254" s="8" t="s">
        <v>184</v>
      </c>
      <c r="P1254" s="8" t="s">
        <v>185</v>
      </c>
      <c r="Q1254" s="8" t="s">
        <v>186</v>
      </c>
      <c r="R1254" s="8"/>
      <c r="S1254" s="8"/>
      <c r="T1254" s="8"/>
      <c r="U1254" s="8" t="s">
        <v>261</v>
      </c>
      <c r="V1254" s="8"/>
      <c r="W1254" s="8" t="s">
        <v>306</v>
      </c>
      <c r="X1254" s="8" t="s">
        <v>98</v>
      </c>
      <c r="Y1254" s="8" t="s">
        <v>23</v>
      </c>
    </row>
    <row r="1255" spans="1:25" s="7" customFormat="1" hidden="1" x14ac:dyDescent="0.25">
      <c r="A1255" s="283" t="s">
        <v>726</v>
      </c>
      <c r="B1255" s="260">
        <v>45840</v>
      </c>
      <c r="C1255" s="261" t="s">
        <v>542</v>
      </c>
      <c r="D1255" s="261"/>
      <c r="E1255" s="262">
        <v>86000</v>
      </c>
      <c r="F1255" s="262">
        <v>0</v>
      </c>
      <c r="G1255" s="285">
        <f>Tabla3[[#This Row],[INGRESOS]]-Tabla3[[#This Row],[EGRESOS]]</f>
        <v>-86000</v>
      </c>
      <c r="H1255" s="285">
        <v>3796172.1</v>
      </c>
      <c r="I1255" s="135">
        <v>1170</v>
      </c>
      <c r="J1255" s="136">
        <f>Tabla3[[#This Row],[EGRESOS]]/Tabla3[[#This Row],[TC]]</f>
        <v>73.504273504273499</v>
      </c>
      <c r="K1255" s="136">
        <f>Tabla3[[#This Row],[INGRESOS]]/Tabla3[[#This Row],[TC]]</f>
        <v>0</v>
      </c>
      <c r="L1255" s="8" t="s">
        <v>303</v>
      </c>
      <c r="M1255" s="8" t="s">
        <v>304</v>
      </c>
      <c r="N1255" s="8" t="s">
        <v>20</v>
      </c>
      <c r="O1255" s="8" t="s">
        <v>204</v>
      </c>
      <c r="P1255" s="8" t="s">
        <v>210</v>
      </c>
      <c r="Q1255" s="8" t="s">
        <v>33</v>
      </c>
      <c r="R1255" s="8" t="s">
        <v>959</v>
      </c>
      <c r="S1255" s="8" t="s">
        <v>958</v>
      </c>
      <c r="T1255" s="8"/>
      <c r="U1255" s="8" t="s">
        <v>258</v>
      </c>
      <c r="V1255" s="8"/>
      <c r="W1255" s="8" t="s">
        <v>306</v>
      </c>
      <c r="X1255" s="8" t="s">
        <v>29</v>
      </c>
      <c r="Y1255" s="8" t="s">
        <v>23</v>
      </c>
    </row>
    <row r="1256" spans="1:25" s="7" customFormat="1" hidden="1" x14ac:dyDescent="0.25">
      <c r="A1256" s="283" t="s">
        <v>726</v>
      </c>
      <c r="B1256" s="260">
        <v>45840</v>
      </c>
      <c r="C1256" s="261" t="s">
        <v>943</v>
      </c>
      <c r="D1256" s="261"/>
      <c r="E1256" s="262">
        <v>516.73</v>
      </c>
      <c r="F1256" s="262">
        <v>0</v>
      </c>
      <c r="G1256" s="285">
        <f>Tabla3[[#This Row],[INGRESOS]]-Tabla3[[#This Row],[EGRESOS]]</f>
        <v>-516.73</v>
      </c>
      <c r="H1256" s="285">
        <v>3795655.37</v>
      </c>
      <c r="I1256" s="135">
        <v>1170</v>
      </c>
      <c r="J1256" s="136">
        <f>Tabla3[[#This Row],[EGRESOS]]/Tabla3[[#This Row],[TC]]</f>
        <v>0.44164957264957266</v>
      </c>
      <c r="K1256" s="136">
        <f>Tabla3[[#This Row],[INGRESOS]]/Tabla3[[#This Row],[TC]]</f>
        <v>0</v>
      </c>
      <c r="L1256" s="8" t="s">
        <v>303</v>
      </c>
      <c r="M1256" s="8" t="s">
        <v>304</v>
      </c>
      <c r="N1256" s="8" t="s">
        <v>20</v>
      </c>
      <c r="O1256" s="8" t="s">
        <v>184</v>
      </c>
      <c r="P1256" s="8" t="s">
        <v>187</v>
      </c>
      <c r="Q1256" s="8" t="s">
        <v>188</v>
      </c>
      <c r="R1256" s="8" t="s">
        <v>317</v>
      </c>
      <c r="S1256" s="8"/>
      <c r="T1256" s="8"/>
      <c r="U1256" s="8" t="s">
        <v>261</v>
      </c>
      <c r="V1256" s="8"/>
      <c r="W1256" s="8" t="s">
        <v>306</v>
      </c>
      <c r="X1256" s="8" t="s">
        <v>98</v>
      </c>
      <c r="Y1256" s="8" t="s">
        <v>23</v>
      </c>
    </row>
    <row r="1257" spans="1:25" s="7" customFormat="1" hidden="1" x14ac:dyDescent="0.25">
      <c r="A1257" s="283" t="s">
        <v>726</v>
      </c>
      <c r="B1257" s="260">
        <v>45840</v>
      </c>
      <c r="C1257" s="261" t="s">
        <v>943</v>
      </c>
      <c r="D1257" s="261"/>
      <c r="E1257" s="262">
        <v>516.73</v>
      </c>
      <c r="F1257" s="262">
        <v>0</v>
      </c>
      <c r="G1257" s="285">
        <f>Tabla3[[#This Row],[INGRESOS]]-Tabla3[[#This Row],[EGRESOS]]</f>
        <v>-516.73</v>
      </c>
      <c r="H1257" s="285">
        <v>3795655.37</v>
      </c>
      <c r="I1257" s="135">
        <v>1170</v>
      </c>
      <c r="J1257" s="136">
        <f>Tabla3[[#This Row],[EGRESOS]]/Tabla3[[#This Row],[TC]]</f>
        <v>0.44164957264957266</v>
      </c>
      <c r="K1257" s="136">
        <f>Tabla3[[#This Row],[INGRESOS]]/Tabla3[[#This Row],[TC]]</f>
        <v>0</v>
      </c>
      <c r="L1257" s="8" t="s">
        <v>303</v>
      </c>
      <c r="M1257" s="8" t="s">
        <v>304</v>
      </c>
      <c r="N1257" s="8" t="s">
        <v>20</v>
      </c>
      <c r="O1257" s="8" t="s">
        <v>184</v>
      </c>
      <c r="P1257" s="8" t="s">
        <v>187</v>
      </c>
      <c r="Q1257" s="8" t="s">
        <v>188</v>
      </c>
      <c r="R1257" s="8" t="s">
        <v>317</v>
      </c>
      <c r="S1257" s="8"/>
      <c r="T1257" s="8"/>
      <c r="U1257" s="8" t="s">
        <v>261</v>
      </c>
      <c r="V1257" s="8"/>
      <c r="W1257" s="8" t="s">
        <v>306</v>
      </c>
      <c r="X1257" s="8" t="s">
        <v>98</v>
      </c>
      <c r="Y1257" s="8" t="s">
        <v>23</v>
      </c>
    </row>
    <row r="1258" spans="1:25" s="7" customFormat="1" hidden="1" x14ac:dyDescent="0.25">
      <c r="A1258" s="283" t="s">
        <v>726</v>
      </c>
      <c r="B1258" s="260">
        <v>45841</v>
      </c>
      <c r="C1258" s="261" t="s">
        <v>542</v>
      </c>
      <c r="D1258" s="261"/>
      <c r="E1258" s="262">
        <v>934252</v>
      </c>
      <c r="F1258" s="262">
        <v>0</v>
      </c>
      <c r="G1258" s="285">
        <f>Tabla3[[#This Row],[INGRESOS]]-Tabla3[[#This Row],[EGRESOS]]</f>
        <v>-934252</v>
      </c>
      <c r="H1258" s="285">
        <v>2861403.37</v>
      </c>
      <c r="I1258" s="135">
        <v>1170</v>
      </c>
      <c r="J1258" s="136">
        <f>Tabla3[[#This Row],[EGRESOS]]/Tabla3[[#This Row],[TC]]</f>
        <v>798.50598290598293</v>
      </c>
      <c r="K1258" s="136">
        <f>Tabla3[[#This Row],[INGRESOS]]/Tabla3[[#This Row],[TC]]</f>
        <v>0</v>
      </c>
      <c r="L1258" s="8" t="s">
        <v>303</v>
      </c>
      <c r="M1258" s="8" t="s">
        <v>304</v>
      </c>
      <c r="N1258" s="8" t="s">
        <v>20</v>
      </c>
      <c r="O1258" s="8" t="s">
        <v>197</v>
      </c>
      <c r="P1258" s="8" t="s">
        <v>198</v>
      </c>
      <c r="Q1258" s="8" t="s">
        <v>199</v>
      </c>
      <c r="R1258" s="8" t="s">
        <v>226</v>
      </c>
      <c r="S1258" s="8" t="s">
        <v>319</v>
      </c>
      <c r="T1258" s="8" t="s">
        <v>960</v>
      </c>
      <c r="U1258" s="8" t="s">
        <v>258</v>
      </c>
      <c r="V1258" s="8"/>
      <c r="W1258" s="8" t="s">
        <v>306</v>
      </c>
      <c r="X1258" s="8" t="s">
        <v>29</v>
      </c>
      <c r="Y1258" s="8" t="s">
        <v>23</v>
      </c>
    </row>
    <row r="1259" spans="1:25" s="7" customFormat="1" hidden="1" x14ac:dyDescent="0.25">
      <c r="A1259" s="283" t="s">
        <v>726</v>
      </c>
      <c r="B1259" s="260">
        <v>45841</v>
      </c>
      <c r="C1259" s="261" t="s">
        <v>571</v>
      </c>
      <c r="D1259" s="261"/>
      <c r="E1259" s="262">
        <v>121</v>
      </c>
      <c r="F1259" s="262">
        <v>0</v>
      </c>
      <c r="G1259" s="285">
        <f>Tabla3[[#This Row],[INGRESOS]]-Tabla3[[#This Row],[EGRESOS]]</f>
        <v>-121</v>
      </c>
      <c r="H1259" s="285">
        <v>2861282.37</v>
      </c>
      <c r="I1259" s="135">
        <v>1170</v>
      </c>
      <c r="J1259" s="136">
        <f>Tabla3[[#This Row],[EGRESOS]]/Tabla3[[#This Row],[TC]]</f>
        <v>0.10341880341880341</v>
      </c>
      <c r="K1259" s="136">
        <f>Tabla3[[#This Row],[INGRESOS]]/Tabla3[[#This Row],[TC]]</f>
        <v>0</v>
      </c>
      <c r="L1259" s="8" t="s">
        <v>303</v>
      </c>
      <c r="M1259" s="8" t="s">
        <v>304</v>
      </c>
      <c r="N1259" s="8" t="s">
        <v>20</v>
      </c>
      <c r="O1259" s="8" t="s">
        <v>184</v>
      </c>
      <c r="P1259" s="8" t="s">
        <v>185</v>
      </c>
      <c r="Q1259" s="8" t="s">
        <v>186</v>
      </c>
      <c r="R1259" s="8"/>
      <c r="S1259" s="8"/>
      <c r="T1259" s="8"/>
      <c r="U1259" s="8" t="s">
        <v>261</v>
      </c>
      <c r="V1259" s="8"/>
      <c r="W1259" s="8" t="s">
        <v>306</v>
      </c>
      <c r="X1259" s="8" t="s">
        <v>98</v>
      </c>
      <c r="Y1259" s="8" t="s">
        <v>23</v>
      </c>
    </row>
    <row r="1260" spans="1:25" s="7" customFormat="1" hidden="1" x14ac:dyDescent="0.25">
      <c r="A1260" s="283" t="s">
        <v>726</v>
      </c>
      <c r="B1260" s="260">
        <v>45841</v>
      </c>
      <c r="C1260" s="261" t="s">
        <v>699</v>
      </c>
      <c r="D1260" s="261"/>
      <c r="E1260" s="262">
        <v>0</v>
      </c>
      <c r="F1260" s="262">
        <v>63472748.5</v>
      </c>
      <c r="G1260" s="285">
        <f>Tabla3[[#This Row],[INGRESOS]]-Tabla3[[#This Row],[EGRESOS]]</f>
        <v>63472748.5</v>
      </c>
      <c r="H1260" s="285">
        <v>66334030.869999997</v>
      </c>
      <c r="I1260" s="135">
        <v>1170</v>
      </c>
      <c r="J1260" s="136">
        <f>Tabla3[[#This Row],[EGRESOS]]/Tabla3[[#This Row],[TC]]</f>
        <v>0</v>
      </c>
      <c r="K1260" s="136">
        <f>Tabla3[[#This Row],[INGRESOS]]/Tabla3[[#This Row],[TC]]</f>
        <v>54250.212393162394</v>
      </c>
      <c r="L1260" s="8" t="s">
        <v>303</v>
      </c>
      <c r="M1260" s="8" t="s">
        <v>304</v>
      </c>
      <c r="N1260" s="8" t="s">
        <v>20</v>
      </c>
      <c r="O1260" s="8" t="s">
        <v>742</v>
      </c>
      <c r="P1260" s="8" t="s">
        <v>1069</v>
      </c>
      <c r="Q1260" s="8" t="s">
        <v>962</v>
      </c>
      <c r="R1260" s="8" t="s">
        <v>961</v>
      </c>
      <c r="S1260" s="8" t="s">
        <v>700</v>
      </c>
      <c r="T1260" s="8" t="s">
        <v>963</v>
      </c>
      <c r="U1260" s="8" t="s">
        <v>270</v>
      </c>
      <c r="V1260" s="8"/>
      <c r="W1260" s="8" t="s">
        <v>306</v>
      </c>
      <c r="X1260" s="8" t="s">
        <v>23</v>
      </c>
      <c r="Y1260" s="8" t="s">
        <v>96</v>
      </c>
    </row>
    <row r="1261" spans="1:25" s="7" customFormat="1" hidden="1" x14ac:dyDescent="0.25">
      <c r="A1261" s="283" t="s">
        <v>726</v>
      </c>
      <c r="B1261" s="260">
        <v>45841</v>
      </c>
      <c r="C1261" s="261" t="s">
        <v>637</v>
      </c>
      <c r="D1261" s="261"/>
      <c r="E1261" s="262">
        <v>380836.49</v>
      </c>
      <c r="F1261" s="262">
        <v>0</v>
      </c>
      <c r="G1261" s="285">
        <f>Tabla3[[#This Row],[INGRESOS]]-Tabla3[[#This Row],[EGRESOS]]</f>
        <v>-380836.49</v>
      </c>
      <c r="H1261" s="285">
        <v>65953194.380000003</v>
      </c>
      <c r="I1261" s="135">
        <v>1170</v>
      </c>
      <c r="J1261" s="136">
        <f>Tabla3[[#This Row],[EGRESOS]]/Tabla3[[#This Row],[TC]]</f>
        <v>325.50127350427351</v>
      </c>
      <c r="K1261" s="136">
        <f>Tabla3[[#This Row],[INGRESOS]]/Tabla3[[#This Row],[TC]]</f>
        <v>0</v>
      </c>
      <c r="L1261" s="8" t="s">
        <v>303</v>
      </c>
      <c r="M1261" s="8" t="s">
        <v>304</v>
      </c>
      <c r="N1261" s="8" t="s">
        <v>20</v>
      </c>
      <c r="O1261" s="8" t="s">
        <v>184</v>
      </c>
      <c r="P1261" s="8" t="s">
        <v>187</v>
      </c>
      <c r="Q1261" s="8" t="s">
        <v>188</v>
      </c>
      <c r="R1261" s="8" t="s">
        <v>317</v>
      </c>
      <c r="S1261" s="8"/>
      <c r="T1261" s="8"/>
      <c r="U1261" s="8" t="s">
        <v>261</v>
      </c>
      <c r="V1261" s="8"/>
      <c r="W1261" s="8" t="s">
        <v>306</v>
      </c>
      <c r="X1261" s="8" t="s">
        <v>98</v>
      </c>
      <c r="Y1261" s="8" t="s">
        <v>23</v>
      </c>
    </row>
    <row r="1262" spans="1:25" s="7" customFormat="1" hidden="1" x14ac:dyDescent="0.25">
      <c r="A1262" s="283" t="s">
        <v>726</v>
      </c>
      <c r="B1262" s="260">
        <v>45841</v>
      </c>
      <c r="C1262" s="261" t="s">
        <v>943</v>
      </c>
      <c r="D1262" s="261"/>
      <c r="E1262" s="262">
        <v>5606.24</v>
      </c>
      <c r="F1262" s="262">
        <v>0</v>
      </c>
      <c r="G1262" s="285">
        <f>Tabla3[[#This Row],[INGRESOS]]-Tabla3[[#This Row],[EGRESOS]]</f>
        <v>-5606.24</v>
      </c>
      <c r="H1262" s="285">
        <v>65947588.140000001</v>
      </c>
      <c r="I1262" s="135">
        <v>1170</v>
      </c>
      <c r="J1262" s="136">
        <f>Tabla3[[#This Row],[EGRESOS]]/Tabla3[[#This Row],[TC]]</f>
        <v>4.7916581196581198</v>
      </c>
      <c r="K1262" s="136">
        <f>Tabla3[[#This Row],[INGRESOS]]/Tabla3[[#This Row],[TC]]</f>
        <v>0</v>
      </c>
      <c r="L1262" s="8" t="s">
        <v>303</v>
      </c>
      <c r="M1262" s="8" t="s">
        <v>304</v>
      </c>
      <c r="N1262" s="8" t="s">
        <v>20</v>
      </c>
      <c r="O1262" s="8" t="s">
        <v>184</v>
      </c>
      <c r="P1262" s="8" t="s">
        <v>187</v>
      </c>
      <c r="Q1262" s="8" t="s">
        <v>188</v>
      </c>
      <c r="R1262" s="8" t="s">
        <v>317</v>
      </c>
      <c r="S1262" s="8"/>
      <c r="T1262" s="8"/>
      <c r="U1262" s="8" t="s">
        <v>261</v>
      </c>
      <c r="V1262" s="8"/>
      <c r="W1262" s="8" t="s">
        <v>306</v>
      </c>
      <c r="X1262" s="8" t="s">
        <v>98</v>
      </c>
      <c r="Y1262" s="8" t="s">
        <v>23</v>
      </c>
    </row>
    <row r="1263" spans="1:25" s="7" customFormat="1" hidden="1" x14ac:dyDescent="0.25">
      <c r="A1263" s="283" t="s">
        <v>726</v>
      </c>
      <c r="B1263" s="260">
        <v>45845</v>
      </c>
      <c r="C1263" s="261" t="s">
        <v>542</v>
      </c>
      <c r="D1263" s="261"/>
      <c r="E1263" s="262">
        <v>500000</v>
      </c>
      <c r="F1263" s="262">
        <v>0</v>
      </c>
      <c r="G1263" s="285">
        <f>Tabla3[[#This Row],[INGRESOS]]-Tabla3[[#This Row],[EGRESOS]]</f>
        <v>-500000</v>
      </c>
      <c r="H1263" s="285">
        <v>65447588.140000001</v>
      </c>
      <c r="I1263" s="135">
        <v>1170</v>
      </c>
      <c r="J1263" s="136">
        <f>Tabla3[[#This Row],[EGRESOS]]/Tabla3[[#This Row],[TC]]</f>
        <v>427.35042735042737</v>
      </c>
      <c r="K1263" s="136">
        <f>Tabla3[[#This Row],[INGRESOS]]/Tabla3[[#This Row],[TC]]</f>
        <v>0</v>
      </c>
      <c r="L1263" s="8" t="s">
        <v>303</v>
      </c>
      <c r="M1263" s="8" t="s">
        <v>304</v>
      </c>
      <c r="N1263" s="8" t="s">
        <v>20</v>
      </c>
      <c r="O1263" s="8" t="s">
        <v>184</v>
      </c>
      <c r="P1263" s="8" t="s">
        <v>194</v>
      </c>
      <c r="Q1263" s="8" t="s">
        <v>965</v>
      </c>
      <c r="R1263" s="8"/>
      <c r="S1263" s="8" t="s">
        <v>331</v>
      </c>
      <c r="T1263" s="8"/>
      <c r="U1263" s="8" t="s">
        <v>267</v>
      </c>
      <c r="V1263" s="8" t="s">
        <v>332</v>
      </c>
      <c r="W1263" s="8" t="s">
        <v>306</v>
      </c>
      <c r="X1263" s="8" t="s">
        <v>101</v>
      </c>
      <c r="Y1263" s="8" t="s">
        <v>23</v>
      </c>
    </row>
    <row r="1264" spans="1:25" s="7" customFormat="1" hidden="1" x14ac:dyDescent="0.25">
      <c r="A1264" s="283" t="s">
        <v>726</v>
      </c>
      <c r="B1264" s="260">
        <v>45845</v>
      </c>
      <c r="C1264" s="261" t="s">
        <v>571</v>
      </c>
      <c r="D1264" s="261"/>
      <c r="E1264" s="262">
        <v>121</v>
      </c>
      <c r="F1264" s="262">
        <v>0</v>
      </c>
      <c r="G1264" s="285">
        <f>Tabla3[[#This Row],[INGRESOS]]-Tabla3[[#This Row],[EGRESOS]]</f>
        <v>-121</v>
      </c>
      <c r="H1264" s="285">
        <v>65447467.140000001</v>
      </c>
      <c r="I1264" s="135">
        <v>1170</v>
      </c>
      <c r="J1264" s="136">
        <f>Tabla3[[#This Row],[EGRESOS]]/Tabla3[[#This Row],[TC]]</f>
        <v>0.10341880341880341</v>
      </c>
      <c r="K1264" s="136">
        <f>Tabla3[[#This Row],[INGRESOS]]/Tabla3[[#This Row],[TC]]</f>
        <v>0</v>
      </c>
      <c r="L1264" s="8" t="s">
        <v>303</v>
      </c>
      <c r="M1264" s="8" t="s">
        <v>304</v>
      </c>
      <c r="N1264" s="8" t="s">
        <v>20</v>
      </c>
      <c r="O1264" s="8" t="s">
        <v>184</v>
      </c>
      <c r="P1264" s="8" t="s">
        <v>185</v>
      </c>
      <c r="Q1264" s="8" t="s">
        <v>186</v>
      </c>
      <c r="R1264" s="8"/>
      <c r="S1264" s="8"/>
      <c r="T1264" s="8"/>
      <c r="U1264" s="8" t="s">
        <v>261</v>
      </c>
      <c r="V1264" s="8"/>
      <c r="W1264" s="8" t="s">
        <v>306</v>
      </c>
      <c r="X1264" s="8" t="s">
        <v>98</v>
      </c>
      <c r="Y1264" s="8" t="s">
        <v>23</v>
      </c>
    </row>
    <row r="1265" spans="1:25" s="7" customFormat="1" hidden="1" x14ac:dyDescent="0.25">
      <c r="A1265" s="283" t="s">
        <v>726</v>
      </c>
      <c r="B1265" s="260">
        <v>45845</v>
      </c>
      <c r="C1265" s="261" t="s">
        <v>323</v>
      </c>
      <c r="D1265" s="261"/>
      <c r="E1265" s="262">
        <v>60000000</v>
      </c>
      <c r="F1265" s="262">
        <v>0</v>
      </c>
      <c r="G1265" s="285">
        <f>Tabla3[[#This Row],[INGRESOS]]-Tabla3[[#This Row],[EGRESOS]]</f>
        <v>-60000000</v>
      </c>
      <c r="H1265" s="285">
        <v>5447467.1399999997</v>
      </c>
      <c r="I1265" s="135">
        <v>1170</v>
      </c>
      <c r="J1265" s="136">
        <f>Tabla3[[#This Row],[EGRESOS]]/Tabla3[[#This Row],[TC]]</f>
        <v>51282.051282051281</v>
      </c>
      <c r="K1265" s="136">
        <f>Tabla3[[#This Row],[INGRESOS]]/Tabla3[[#This Row],[TC]]</f>
        <v>0</v>
      </c>
      <c r="L1265" s="8" t="s">
        <v>303</v>
      </c>
      <c r="M1265" s="8" t="s">
        <v>304</v>
      </c>
      <c r="N1265" s="8" t="s">
        <v>20</v>
      </c>
      <c r="O1265" s="8" t="s">
        <v>214</v>
      </c>
      <c r="P1265" s="8" t="s">
        <v>216</v>
      </c>
      <c r="Q1265" s="8" t="s">
        <v>217</v>
      </c>
      <c r="R1265" s="8" t="s">
        <v>686</v>
      </c>
      <c r="S1265" s="8"/>
      <c r="T1265" s="8"/>
      <c r="U1265" s="8" t="s">
        <v>262</v>
      </c>
      <c r="V1265" s="8"/>
      <c r="W1265" s="8" t="s">
        <v>306</v>
      </c>
      <c r="X1265" s="8"/>
      <c r="Y1265" s="8"/>
    </row>
    <row r="1266" spans="1:25" s="7" customFormat="1" hidden="1" x14ac:dyDescent="0.25">
      <c r="A1266" s="283" t="s">
        <v>726</v>
      </c>
      <c r="B1266" s="260">
        <v>45845</v>
      </c>
      <c r="C1266" s="261" t="s">
        <v>571</v>
      </c>
      <c r="D1266" s="261"/>
      <c r="E1266" s="262">
        <v>121</v>
      </c>
      <c r="F1266" s="262">
        <v>0</v>
      </c>
      <c r="G1266" s="285">
        <f>Tabla3[[#This Row],[INGRESOS]]-Tabla3[[#This Row],[EGRESOS]]</f>
        <v>-121</v>
      </c>
      <c r="H1266" s="285">
        <v>5447346.1399999997</v>
      </c>
      <c r="I1266" s="135">
        <v>1170</v>
      </c>
      <c r="J1266" s="136">
        <f>Tabla3[[#This Row],[EGRESOS]]/Tabla3[[#This Row],[TC]]</f>
        <v>0.10341880341880341</v>
      </c>
      <c r="K1266" s="136">
        <f>Tabla3[[#This Row],[INGRESOS]]/Tabla3[[#This Row],[TC]]</f>
        <v>0</v>
      </c>
      <c r="L1266" s="8" t="s">
        <v>303</v>
      </c>
      <c r="M1266" s="8" t="s">
        <v>304</v>
      </c>
      <c r="N1266" s="8" t="s">
        <v>20</v>
      </c>
      <c r="O1266" s="8" t="s">
        <v>184</v>
      </c>
      <c r="P1266" s="8" t="s">
        <v>185</v>
      </c>
      <c r="Q1266" s="8" t="s">
        <v>186</v>
      </c>
      <c r="R1266" s="8"/>
      <c r="S1266" s="8"/>
      <c r="T1266" s="8"/>
      <c r="U1266" s="8" t="s">
        <v>261</v>
      </c>
      <c r="V1266" s="8"/>
      <c r="W1266" s="8" t="s">
        <v>306</v>
      </c>
      <c r="X1266" s="8" t="s">
        <v>98</v>
      </c>
      <c r="Y1266" s="8" t="s">
        <v>23</v>
      </c>
    </row>
    <row r="1267" spans="1:25" s="7" customFormat="1" hidden="1" x14ac:dyDescent="0.25">
      <c r="A1267" s="283" t="s">
        <v>726</v>
      </c>
      <c r="B1267" s="260">
        <v>45845</v>
      </c>
      <c r="C1267" s="261" t="s">
        <v>943</v>
      </c>
      <c r="D1267" s="261"/>
      <c r="E1267" s="262">
        <v>3001.46</v>
      </c>
      <c r="F1267" s="262">
        <v>0</v>
      </c>
      <c r="G1267" s="285">
        <f>Tabla3[[#This Row],[INGRESOS]]-Tabla3[[#This Row],[EGRESOS]]</f>
        <v>-3001.46</v>
      </c>
      <c r="H1267" s="285">
        <v>5444344.6799999997</v>
      </c>
      <c r="I1267" s="135">
        <v>1170</v>
      </c>
      <c r="J1267" s="136">
        <f>Tabla3[[#This Row],[EGRESOS]]/Tabla3[[#This Row],[TC]]</f>
        <v>2.5653504273504275</v>
      </c>
      <c r="K1267" s="136">
        <f>Tabla3[[#This Row],[INGRESOS]]/Tabla3[[#This Row],[TC]]</f>
        <v>0</v>
      </c>
      <c r="L1267" s="8" t="s">
        <v>303</v>
      </c>
      <c r="M1267" s="8" t="s">
        <v>304</v>
      </c>
      <c r="N1267" s="8" t="s">
        <v>20</v>
      </c>
      <c r="O1267" s="8" t="s">
        <v>184</v>
      </c>
      <c r="P1267" s="8" t="s">
        <v>187</v>
      </c>
      <c r="Q1267" s="8" t="s">
        <v>188</v>
      </c>
      <c r="R1267" s="8" t="s">
        <v>317</v>
      </c>
      <c r="S1267" s="8"/>
      <c r="T1267" s="8"/>
      <c r="U1267" s="8" t="s">
        <v>261</v>
      </c>
      <c r="V1267" s="8"/>
      <c r="W1267" s="8" t="s">
        <v>306</v>
      </c>
      <c r="X1267" s="8" t="s">
        <v>98</v>
      </c>
      <c r="Y1267" s="8" t="s">
        <v>23</v>
      </c>
    </row>
    <row r="1268" spans="1:25" s="7" customFormat="1" hidden="1" x14ac:dyDescent="0.25">
      <c r="A1268" s="283" t="s">
        <v>726</v>
      </c>
      <c r="B1268" s="260">
        <v>45846</v>
      </c>
      <c r="C1268" s="261" t="s">
        <v>521</v>
      </c>
      <c r="D1268" s="261" t="s">
        <v>964</v>
      </c>
      <c r="E1268" s="262">
        <v>1050282</v>
      </c>
      <c r="F1268" s="262">
        <v>0</v>
      </c>
      <c r="G1268" s="285">
        <f>Tabla3[[#This Row],[INGRESOS]]-Tabla3[[#This Row],[EGRESOS]]</f>
        <v>-1050282</v>
      </c>
      <c r="H1268" s="285">
        <v>4394062.68</v>
      </c>
      <c r="I1268" s="135">
        <v>1170</v>
      </c>
      <c r="J1268" s="136">
        <f>Tabla3[[#This Row],[EGRESOS]]/Tabla3[[#This Row],[TC]]</f>
        <v>897.67692307692312</v>
      </c>
      <c r="K1268" s="136">
        <f>Tabla3[[#This Row],[INGRESOS]]/Tabla3[[#This Row],[TC]]</f>
        <v>0</v>
      </c>
      <c r="L1268" s="8" t="s">
        <v>303</v>
      </c>
      <c r="M1268" s="8" t="s">
        <v>304</v>
      </c>
      <c r="N1268" s="8" t="s">
        <v>20</v>
      </c>
      <c r="O1268" s="8" t="s">
        <v>197</v>
      </c>
      <c r="P1268" s="8" t="s">
        <v>198</v>
      </c>
      <c r="Q1268" s="8" t="s">
        <v>200</v>
      </c>
      <c r="R1268" s="8" t="s">
        <v>899</v>
      </c>
      <c r="S1268" s="8" t="s">
        <v>898</v>
      </c>
      <c r="T1268" s="8"/>
      <c r="U1268" s="8" t="s">
        <v>258</v>
      </c>
      <c r="V1268" s="8"/>
      <c r="W1268" s="8" t="s">
        <v>306</v>
      </c>
      <c r="X1268" s="8" t="s">
        <v>29</v>
      </c>
      <c r="Y1268" s="8" t="s">
        <v>23</v>
      </c>
    </row>
    <row r="1269" spans="1:25" s="7" customFormat="1" hidden="1" x14ac:dyDescent="0.25">
      <c r="A1269" s="283" t="s">
        <v>726</v>
      </c>
      <c r="B1269" s="260">
        <v>45846</v>
      </c>
      <c r="C1269" s="261" t="s">
        <v>542</v>
      </c>
      <c r="D1269" s="261"/>
      <c r="E1269" s="262">
        <v>374597</v>
      </c>
      <c r="F1269" s="262">
        <v>0</v>
      </c>
      <c r="G1269" s="285">
        <f>Tabla3[[#This Row],[INGRESOS]]-Tabla3[[#This Row],[EGRESOS]]</f>
        <v>-374597</v>
      </c>
      <c r="H1269" s="285">
        <v>4019465.68</v>
      </c>
      <c r="I1269" s="135">
        <v>1170</v>
      </c>
      <c r="J1269" s="136">
        <f>Tabla3[[#This Row],[EGRESOS]]/Tabla3[[#This Row],[TC]]</f>
        <v>320.16837606837606</v>
      </c>
      <c r="K1269" s="136">
        <f>Tabla3[[#This Row],[INGRESOS]]/Tabla3[[#This Row],[TC]]</f>
        <v>0</v>
      </c>
      <c r="L1269" s="8" t="s">
        <v>303</v>
      </c>
      <c r="M1269" s="8" t="s">
        <v>304</v>
      </c>
      <c r="N1269" s="8" t="s">
        <v>20</v>
      </c>
      <c r="O1269" s="8" t="s">
        <v>184</v>
      </c>
      <c r="P1269" s="8" t="s">
        <v>237</v>
      </c>
      <c r="Q1269" s="8" t="s">
        <v>248</v>
      </c>
      <c r="R1269" s="8"/>
      <c r="S1269" s="8" t="s">
        <v>418</v>
      </c>
      <c r="T1269" s="8"/>
      <c r="U1269" s="8" t="s">
        <v>273</v>
      </c>
      <c r="V1269" s="8"/>
      <c r="W1269" s="8" t="s">
        <v>306</v>
      </c>
      <c r="X1269" s="8" t="s">
        <v>953</v>
      </c>
      <c r="Y1269" s="8" t="s">
        <v>23</v>
      </c>
    </row>
    <row r="1270" spans="1:25" s="7" customFormat="1" hidden="1" x14ac:dyDescent="0.25">
      <c r="A1270" s="283" t="s">
        <v>726</v>
      </c>
      <c r="B1270" s="260">
        <v>45846</v>
      </c>
      <c r="C1270" s="261" t="s">
        <v>571</v>
      </c>
      <c r="D1270" s="261"/>
      <c r="E1270" s="262">
        <v>121</v>
      </c>
      <c r="F1270" s="262">
        <v>0</v>
      </c>
      <c r="G1270" s="285">
        <f>Tabla3[[#This Row],[INGRESOS]]-Tabla3[[#This Row],[EGRESOS]]</f>
        <v>-121</v>
      </c>
      <c r="H1270" s="285">
        <v>4019344.68</v>
      </c>
      <c r="I1270" s="135">
        <v>1170</v>
      </c>
      <c r="J1270" s="136">
        <f>Tabla3[[#This Row],[EGRESOS]]/Tabla3[[#This Row],[TC]]</f>
        <v>0.10341880341880341</v>
      </c>
      <c r="K1270" s="136">
        <f>Tabla3[[#This Row],[INGRESOS]]/Tabla3[[#This Row],[TC]]</f>
        <v>0</v>
      </c>
      <c r="L1270" s="8" t="s">
        <v>303</v>
      </c>
      <c r="M1270" s="8" t="s">
        <v>304</v>
      </c>
      <c r="N1270" s="8" t="s">
        <v>20</v>
      </c>
      <c r="O1270" s="8" t="s">
        <v>184</v>
      </c>
      <c r="P1270" s="8" t="s">
        <v>185</v>
      </c>
      <c r="Q1270" s="8" t="s">
        <v>186</v>
      </c>
      <c r="R1270" s="8"/>
      <c r="S1270" s="8"/>
      <c r="T1270" s="8"/>
      <c r="U1270" s="8" t="s">
        <v>261</v>
      </c>
      <c r="V1270" s="8"/>
      <c r="W1270" s="8" t="s">
        <v>306</v>
      </c>
      <c r="X1270" s="8" t="s">
        <v>98</v>
      </c>
      <c r="Y1270" s="8" t="s">
        <v>23</v>
      </c>
    </row>
    <row r="1271" spans="1:25" s="7" customFormat="1" hidden="1" x14ac:dyDescent="0.25">
      <c r="A1271" s="283" t="s">
        <v>726</v>
      </c>
      <c r="B1271" s="260">
        <v>45846</v>
      </c>
      <c r="C1271" s="261" t="s">
        <v>542</v>
      </c>
      <c r="D1271" s="261"/>
      <c r="E1271" s="262">
        <v>711914</v>
      </c>
      <c r="F1271" s="262">
        <v>0</v>
      </c>
      <c r="G1271" s="285">
        <f>Tabla3[[#This Row],[INGRESOS]]-Tabla3[[#This Row],[EGRESOS]]</f>
        <v>-711914</v>
      </c>
      <c r="H1271" s="285">
        <v>3307430.68</v>
      </c>
      <c r="I1271" s="135">
        <v>1170</v>
      </c>
      <c r="J1271" s="136">
        <f>Tabla3[[#This Row],[EGRESOS]]/Tabla3[[#This Row],[TC]]</f>
        <v>608.47350427350432</v>
      </c>
      <c r="K1271" s="136">
        <f>Tabla3[[#This Row],[INGRESOS]]/Tabla3[[#This Row],[TC]]</f>
        <v>0</v>
      </c>
      <c r="L1271" s="8" t="s">
        <v>303</v>
      </c>
      <c r="M1271" s="8" t="s">
        <v>304</v>
      </c>
      <c r="N1271" s="8" t="s">
        <v>20</v>
      </c>
      <c r="O1271" s="8" t="s">
        <v>184</v>
      </c>
      <c r="P1271" s="8" t="s">
        <v>191</v>
      </c>
      <c r="Q1271" s="8" t="s">
        <v>193</v>
      </c>
      <c r="R1271" s="8" t="s">
        <v>969</v>
      </c>
      <c r="S1271" s="8" t="s">
        <v>315</v>
      </c>
      <c r="T1271" s="8"/>
      <c r="U1271" s="8" t="s">
        <v>266</v>
      </c>
      <c r="V1271" s="8"/>
      <c r="W1271" s="8" t="s">
        <v>306</v>
      </c>
      <c r="X1271" s="8" t="s">
        <v>98</v>
      </c>
      <c r="Y1271" s="8" t="s">
        <v>23</v>
      </c>
    </row>
    <row r="1272" spans="1:25" s="7" customFormat="1" hidden="1" x14ac:dyDescent="0.25">
      <c r="A1272" s="283" t="s">
        <v>726</v>
      </c>
      <c r="B1272" s="260">
        <v>45846</v>
      </c>
      <c r="C1272" s="261" t="s">
        <v>571</v>
      </c>
      <c r="D1272" s="261"/>
      <c r="E1272" s="262">
        <v>121</v>
      </c>
      <c r="F1272" s="262">
        <v>0</v>
      </c>
      <c r="G1272" s="285">
        <f>Tabla3[[#This Row],[INGRESOS]]-Tabla3[[#This Row],[EGRESOS]]</f>
        <v>-121</v>
      </c>
      <c r="H1272" s="285">
        <v>3307309.68</v>
      </c>
      <c r="I1272" s="135">
        <v>1170</v>
      </c>
      <c r="J1272" s="136">
        <f>Tabla3[[#This Row],[EGRESOS]]/Tabla3[[#This Row],[TC]]</f>
        <v>0.10341880341880341</v>
      </c>
      <c r="K1272" s="136">
        <f>Tabla3[[#This Row],[INGRESOS]]/Tabla3[[#This Row],[TC]]</f>
        <v>0</v>
      </c>
      <c r="L1272" s="8" t="s">
        <v>303</v>
      </c>
      <c r="M1272" s="8" t="s">
        <v>304</v>
      </c>
      <c r="N1272" s="8" t="s">
        <v>20</v>
      </c>
      <c r="O1272" s="8" t="s">
        <v>184</v>
      </c>
      <c r="P1272" s="8" t="s">
        <v>185</v>
      </c>
      <c r="Q1272" s="8" t="s">
        <v>186</v>
      </c>
      <c r="R1272" s="8"/>
      <c r="S1272" s="8"/>
      <c r="T1272" s="8"/>
      <c r="U1272" s="8" t="s">
        <v>261</v>
      </c>
      <c r="V1272" s="8"/>
      <c r="W1272" s="8" t="s">
        <v>306</v>
      </c>
      <c r="X1272" s="8" t="s">
        <v>98</v>
      </c>
      <c r="Y1272" s="8" t="s">
        <v>23</v>
      </c>
    </row>
    <row r="1273" spans="1:25" s="7" customFormat="1" hidden="1" x14ac:dyDescent="0.25">
      <c r="A1273" s="283" t="s">
        <v>726</v>
      </c>
      <c r="B1273" s="260">
        <v>45846</v>
      </c>
      <c r="C1273" s="261" t="s">
        <v>542</v>
      </c>
      <c r="D1273" s="261"/>
      <c r="E1273" s="262">
        <v>200000</v>
      </c>
      <c r="F1273" s="262">
        <v>0</v>
      </c>
      <c r="G1273" s="285">
        <f>Tabla3[[#This Row],[INGRESOS]]-Tabla3[[#This Row],[EGRESOS]]</f>
        <v>-200000</v>
      </c>
      <c r="H1273" s="285">
        <v>3107309.68</v>
      </c>
      <c r="I1273" s="135">
        <v>1170</v>
      </c>
      <c r="J1273" s="136">
        <f>Tabla3[[#This Row],[EGRESOS]]/Tabla3[[#This Row],[TC]]</f>
        <v>170.94017094017093</v>
      </c>
      <c r="K1273" s="136">
        <f>Tabla3[[#This Row],[INGRESOS]]/Tabla3[[#This Row],[TC]]</f>
        <v>0</v>
      </c>
      <c r="L1273" s="8" t="s">
        <v>303</v>
      </c>
      <c r="M1273" s="8" t="s">
        <v>304</v>
      </c>
      <c r="N1273" s="8" t="s">
        <v>20</v>
      </c>
      <c r="O1273" s="8" t="s">
        <v>184</v>
      </c>
      <c r="P1273" s="8" t="s">
        <v>191</v>
      </c>
      <c r="Q1273" s="8" t="s">
        <v>193</v>
      </c>
      <c r="R1273" s="8" t="s">
        <v>970</v>
      </c>
      <c r="S1273" s="8" t="s">
        <v>315</v>
      </c>
      <c r="T1273" s="8"/>
      <c r="U1273" s="8" t="s">
        <v>266</v>
      </c>
      <c r="V1273" s="8"/>
      <c r="W1273" s="8" t="s">
        <v>306</v>
      </c>
      <c r="X1273" s="8" t="s">
        <v>98</v>
      </c>
      <c r="Y1273" s="8" t="s">
        <v>23</v>
      </c>
    </row>
    <row r="1274" spans="1:25" s="7" customFormat="1" hidden="1" x14ac:dyDescent="0.25">
      <c r="A1274" s="283" t="s">
        <v>726</v>
      </c>
      <c r="B1274" s="260">
        <v>45846</v>
      </c>
      <c r="C1274" s="261" t="s">
        <v>943</v>
      </c>
      <c r="D1274" s="261"/>
      <c r="E1274" s="262">
        <v>14022.21</v>
      </c>
      <c r="F1274" s="262">
        <v>0</v>
      </c>
      <c r="G1274" s="285">
        <f>Tabla3[[#This Row],[INGRESOS]]-Tabla3[[#This Row],[EGRESOS]]</f>
        <v>-14022.21</v>
      </c>
      <c r="H1274" s="285">
        <v>3093287.47</v>
      </c>
      <c r="I1274" s="135">
        <v>1170</v>
      </c>
      <c r="J1274" s="136">
        <f>Tabla3[[#This Row],[EGRESOS]]/Tabla3[[#This Row],[TC]]</f>
        <v>11.984794871794872</v>
      </c>
      <c r="K1274" s="136">
        <f>Tabla3[[#This Row],[INGRESOS]]/Tabla3[[#This Row],[TC]]</f>
        <v>0</v>
      </c>
      <c r="L1274" s="8" t="s">
        <v>303</v>
      </c>
      <c r="M1274" s="8" t="s">
        <v>304</v>
      </c>
      <c r="N1274" s="8" t="s">
        <v>20</v>
      </c>
      <c r="O1274" s="8" t="s">
        <v>184</v>
      </c>
      <c r="P1274" s="8" t="s">
        <v>185</v>
      </c>
      <c r="Q1274" s="8" t="s">
        <v>186</v>
      </c>
      <c r="R1274" s="8"/>
      <c r="S1274" s="8"/>
      <c r="T1274" s="8"/>
      <c r="U1274" s="8" t="s">
        <v>261</v>
      </c>
      <c r="V1274" s="8"/>
      <c r="W1274" s="8" t="s">
        <v>306</v>
      </c>
      <c r="X1274" s="8" t="s">
        <v>98</v>
      </c>
      <c r="Y1274" s="8" t="s">
        <v>23</v>
      </c>
    </row>
    <row r="1275" spans="1:25" s="7" customFormat="1" hidden="1" x14ac:dyDescent="0.25">
      <c r="A1275" s="283" t="s">
        <v>726</v>
      </c>
      <c r="B1275" s="260">
        <v>45848</v>
      </c>
      <c r="C1275" s="261" t="s">
        <v>521</v>
      </c>
      <c r="D1275" s="261" t="s">
        <v>968</v>
      </c>
      <c r="E1275" s="262">
        <v>1975446</v>
      </c>
      <c r="F1275" s="262">
        <v>0</v>
      </c>
      <c r="G1275" s="285">
        <f>Tabla3[[#This Row],[INGRESOS]]-Tabla3[[#This Row],[EGRESOS]]</f>
        <v>-1975446</v>
      </c>
      <c r="H1275" s="285">
        <v>1117841.47</v>
      </c>
      <c r="I1275" s="135">
        <v>1170</v>
      </c>
      <c r="J1275" s="136">
        <f>Tabla3[[#This Row],[EGRESOS]]/Tabla3[[#This Row],[TC]]</f>
        <v>1688.4153846153847</v>
      </c>
      <c r="K1275" s="136">
        <f>Tabla3[[#This Row],[INGRESOS]]/Tabla3[[#This Row],[TC]]</f>
        <v>0</v>
      </c>
      <c r="L1275" s="8" t="s">
        <v>303</v>
      </c>
      <c r="M1275" s="8" t="s">
        <v>304</v>
      </c>
      <c r="N1275" s="8" t="s">
        <v>20</v>
      </c>
      <c r="O1275" s="8" t="s">
        <v>197</v>
      </c>
      <c r="P1275" s="8" t="s">
        <v>198</v>
      </c>
      <c r="Q1275" s="8" t="s">
        <v>201</v>
      </c>
      <c r="R1275" s="8" t="s">
        <v>736</v>
      </c>
      <c r="S1275" s="8" t="s">
        <v>971</v>
      </c>
      <c r="T1275" s="8"/>
      <c r="U1275" s="8" t="s">
        <v>258</v>
      </c>
      <c r="V1275" s="8"/>
      <c r="W1275" s="8" t="s">
        <v>306</v>
      </c>
      <c r="X1275" s="8" t="s">
        <v>29</v>
      </c>
      <c r="Y1275" s="8" t="s">
        <v>23</v>
      </c>
    </row>
    <row r="1276" spans="1:25" s="7" customFormat="1" hidden="1" x14ac:dyDescent="0.25">
      <c r="A1276" s="283" t="s">
        <v>726</v>
      </c>
      <c r="B1276" s="260">
        <v>45848</v>
      </c>
      <c r="C1276" s="261" t="s">
        <v>542</v>
      </c>
      <c r="D1276" s="261"/>
      <c r="E1276" s="262">
        <v>18745.22</v>
      </c>
      <c r="F1276" s="262">
        <v>1</v>
      </c>
      <c r="G1276" s="285">
        <f>Tabla3[[#This Row],[INGRESOS]]-Tabla3[[#This Row],[EGRESOS]]</f>
        <v>-18744.22</v>
      </c>
      <c r="H1276" s="285">
        <v>1099096.25</v>
      </c>
      <c r="I1276" s="135">
        <v>1170</v>
      </c>
      <c r="J1276" s="136">
        <f>Tabla3[[#This Row],[EGRESOS]]/Tabla3[[#This Row],[TC]]</f>
        <v>16.021555555555558</v>
      </c>
      <c r="K1276" s="136">
        <f>Tabla3[[#This Row],[INGRESOS]]/Tabla3[[#This Row],[TC]]</f>
        <v>8.547008547008547E-4</v>
      </c>
      <c r="L1276" s="8" t="s">
        <v>303</v>
      </c>
      <c r="M1276" s="8" t="s">
        <v>304</v>
      </c>
      <c r="N1276" s="8" t="s">
        <v>20</v>
      </c>
      <c r="O1276" s="8" t="s">
        <v>204</v>
      </c>
      <c r="P1276" s="8" t="s">
        <v>205</v>
      </c>
      <c r="Q1276" s="8"/>
      <c r="R1276" s="8"/>
      <c r="S1276" s="8" t="s">
        <v>976</v>
      </c>
      <c r="T1276" s="8" t="s">
        <v>977</v>
      </c>
      <c r="U1276" s="8" t="s">
        <v>258</v>
      </c>
      <c r="V1276" s="8"/>
      <c r="W1276" s="8" t="s">
        <v>306</v>
      </c>
      <c r="X1276" s="8" t="s">
        <v>29</v>
      </c>
      <c r="Y1276" s="8" t="s">
        <v>23</v>
      </c>
    </row>
    <row r="1277" spans="1:25" s="7" customFormat="1" hidden="1" x14ac:dyDescent="0.25">
      <c r="A1277" s="283" t="s">
        <v>726</v>
      </c>
      <c r="B1277" s="260">
        <v>45848</v>
      </c>
      <c r="C1277" s="261" t="s">
        <v>542</v>
      </c>
      <c r="D1277" s="261"/>
      <c r="E1277" s="262">
        <v>350000</v>
      </c>
      <c r="F1277" s="262">
        <v>2</v>
      </c>
      <c r="G1277" s="285">
        <f>Tabla3[[#This Row],[INGRESOS]]-Tabla3[[#This Row],[EGRESOS]]</f>
        <v>-349998</v>
      </c>
      <c r="H1277" s="285">
        <v>749096.25</v>
      </c>
      <c r="I1277" s="135">
        <v>1170</v>
      </c>
      <c r="J1277" s="136">
        <f>Tabla3[[#This Row],[EGRESOS]]/Tabla3[[#This Row],[TC]]</f>
        <v>299.14529914529913</v>
      </c>
      <c r="K1277" s="136">
        <f>Tabla3[[#This Row],[INGRESOS]]/Tabla3[[#This Row],[TC]]</f>
        <v>1.7094017094017094E-3</v>
      </c>
      <c r="L1277" s="8" t="s">
        <v>303</v>
      </c>
      <c r="M1277" s="8" t="s">
        <v>304</v>
      </c>
      <c r="N1277" s="8" t="s">
        <v>20</v>
      </c>
      <c r="O1277" s="8" t="s">
        <v>184</v>
      </c>
      <c r="P1277" s="8" t="s">
        <v>194</v>
      </c>
      <c r="Q1277" s="8" t="s">
        <v>196</v>
      </c>
      <c r="R1277" s="8" t="s">
        <v>975</v>
      </c>
      <c r="S1277" s="8" t="s">
        <v>331</v>
      </c>
      <c r="T1277" s="8"/>
      <c r="U1277" s="8" t="s">
        <v>267</v>
      </c>
      <c r="V1277" s="8" t="s">
        <v>332</v>
      </c>
      <c r="W1277" s="8" t="s">
        <v>306</v>
      </c>
      <c r="X1277" s="8" t="s">
        <v>101</v>
      </c>
      <c r="Y1277" s="8" t="s">
        <v>23</v>
      </c>
    </row>
    <row r="1278" spans="1:25" s="7" customFormat="1" hidden="1" x14ac:dyDescent="0.25">
      <c r="A1278" s="283" t="s">
        <v>726</v>
      </c>
      <c r="B1278" s="260">
        <v>45848</v>
      </c>
      <c r="C1278" s="261" t="s">
        <v>571</v>
      </c>
      <c r="D1278" s="261"/>
      <c r="E1278" s="262">
        <v>121</v>
      </c>
      <c r="F1278" s="262">
        <v>3</v>
      </c>
      <c r="G1278" s="285">
        <f>Tabla3[[#This Row],[INGRESOS]]-Tabla3[[#This Row],[EGRESOS]]</f>
        <v>-118</v>
      </c>
      <c r="H1278" s="285">
        <v>748975.25</v>
      </c>
      <c r="I1278" s="135">
        <v>1170</v>
      </c>
      <c r="J1278" s="136">
        <f>Tabla3[[#This Row],[EGRESOS]]/Tabla3[[#This Row],[TC]]</f>
        <v>0.10341880341880341</v>
      </c>
      <c r="K1278" s="136">
        <f>Tabla3[[#This Row],[INGRESOS]]/Tabla3[[#This Row],[TC]]</f>
        <v>2.5641025641025641E-3</v>
      </c>
      <c r="L1278" s="8" t="s">
        <v>303</v>
      </c>
      <c r="M1278" s="8" t="s">
        <v>304</v>
      </c>
      <c r="N1278" s="8" t="s">
        <v>20</v>
      </c>
      <c r="O1278" s="8" t="s">
        <v>184</v>
      </c>
      <c r="P1278" s="8" t="s">
        <v>185</v>
      </c>
      <c r="Q1278" s="8" t="s">
        <v>186</v>
      </c>
      <c r="R1278" s="8"/>
      <c r="S1278" s="8"/>
      <c r="T1278" s="8"/>
      <c r="U1278" s="8" t="s">
        <v>261</v>
      </c>
      <c r="V1278" s="8"/>
      <c r="W1278" s="8" t="s">
        <v>306</v>
      </c>
      <c r="X1278" s="8" t="s">
        <v>98</v>
      </c>
      <c r="Y1278" s="8" t="s">
        <v>23</v>
      </c>
    </row>
    <row r="1279" spans="1:25" s="7" customFormat="1" hidden="1" x14ac:dyDescent="0.25">
      <c r="A1279" s="283" t="s">
        <v>726</v>
      </c>
      <c r="B1279" s="260">
        <v>45848</v>
      </c>
      <c r="C1279" s="261" t="s">
        <v>943</v>
      </c>
      <c r="D1279" s="261"/>
      <c r="E1279" s="262">
        <v>14065.88</v>
      </c>
      <c r="F1279" s="262">
        <v>4</v>
      </c>
      <c r="G1279" s="285">
        <f>Tabla3[[#This Row],[INGRESOS]]-Tabla3[[#This Row],[EGRESOS]]</f>
        <v>-14061.88</v>
      </c>
      <c r="H1279" s="285">
        <v>734909.37</v>
      </c>
      <c r="I1279" s="135">
        <v>1170</v>
      </c>
      <c r="J1279" s="136">
        <f>Tabla3[[#This Row],[EGRESOS]]/Tabla3[[#This Row],[TC]]</f>
        <v>12.022119658119657</v>
      </c>
      <c r="K1279" s="136">
        <f>Tabla3[[#This Row],[INGRESOS]]/Tabla3[[#This Row],[TC]]</f>
        <v>3.4188034188034188E-3</v>
      </c>
      <c r="L1279" s="8" t="s">
        <v>303</v>
      </c>
      <c r="M1279" s="8" t="s">
        <v>304</v>
      </c>
      <c r="N1279" s="8" t="s">
        <v>20</v>
      </c>
      <c r="O1279" s="8" t="s">
        <v>184</v>
      </c>
      <c r="P1279" s="8" t="s">
        <v>187</v>
      </c>
      <c r="Q1279" s="8" t="s">
        <v>188</v>
      </c>
      <c r="R1279" s="8" t="s">
        <v>317</v>
      </c>
      <c r="S1279" s="8"/>
      <c r="T1279" s="8"/>
      <c r="U1279" s="8" t="s">
        <v>261</v>
      </c>
      <c r="V1279" s="8"/>
      <c r="W1279" s="8" t="s">
        <v>306</v>
      </c>
      <c r="X1279" s="8" t="s">
        <v>98</v>
      </c>
      <c r="Y1279" s="8" t="s">
        <v>23</v>
      </c>
    </row>
    <row r="1280" spans="1:25" s="7" customFormat="1" hidden="1" x14ac:dyDescent="0.25">
      <c r="A1280" s="283" t="s">
        <v>726</v>
      </c>
      <c r="B1280" s="260">
        <v>45852</v>
      </c>
      <c r="C1280" s="261" t="s">
        <v>521</v>
      </c>
      <c r="D1280" s="261" t="s">
        <v>980</v>
      </c>
      <c r="E1280" s="262">
        <v>1000000</v>
      </c>
      <c r="F1280" s="262">
        <v>0</v>
      </c>
      <c r="G1280" s="285">
        <f>Tabla3[[#This Row],[INGRESOS]]-Tabla3[[#This Row],[EGRESOS]]</f>
        <v>-1000000</v>
      </c>
      <c r="H1280" s="285">
        <v>-265090.63</v>
      </c>
      <c r="I1280" s="135">
        <v>1170</v>
      </c>
      <c r="J1280" s="136">
        <f>Tabla3[[#This Row],[EGRESOS]]/Tabla3[[#This Row],[TC]]</f>
        <v>854.70085470085473</v>
      </c>
      <c r="K1280" s="136">
        <f>Tabla3[[#This Row],[INGRESOS]]/Tabla3[[#This Row],[TC]]</f>
        <v>0</v>
      </c>
      <c r="L1280" s="8" t="s">
        <v>303</v>
      </c>
      <c r="M1280" s="8" t="s">
        <v>304</v>
      </c>
      <c r="N1280" s="8" t="s">
        <v>20</v>
      </c>
      <c r="O1280" s="8" t="s">
        <v>204</v>
      </c>
      <c r="P1280" s="8" t="s">
        <v>210</v>
      </c>
      <c r="Q1280" s="8" t="s">
        <v>230</v>
      </c>
      <c r="R1280" s="8"/>
      <c r="S1280" s="8" t="s">
        <v>469</v>
      </c>
      <c r="T1280" s="8"/>
      <c r="U1280" s="8" t="s">
        <v>258</v>
      </c>
      <c r="V1280" s="8"/>
      <c r="W1280" s="8" t="s">
        <v>306</v>
      </c>
      <c r="X1280" s="8" t="s">
        <v>29</v>
      </c>
      <c r="Y1280" s="8" t="s">
        <v>23</v>
      </c>
    </row>
    <row r="1281" spans="1:25" s="7" customFormat="1" hidden="1" x14ac:dyDescent="0.25">
      <c r="A1281" s="283" t="s">
        <v>726</v>
      </c>
      <c r="B1281" s="260">
        <v>45852</v>
      </c>
      <c r="C1281" s="261" t="s">
        <v>521</v>
      </c>
      <c r="D1281" s="261" t="s">
        <v>979</v>
      </c>
      <c r="E1281" s="262">
        <v>1600622.81</v>
      </c>
      <c r="F1281" s="262">
        <v>0</v>
      </c>
      <c r="G1281" s="285">
        <f>Tabla3[[#This Row],[INGRESOS]]-Tabla3[[#This Row],[EGRESOS]]</f>
        <v>-1600622.81</v>
      </c>
      <c r="H1281" s="285">
        <v>-1865713.44</v>
      </c>
      <c r="I1281" s="135">
        <v>1170</v>
      </c>
      <c r="J1281" s="136">
        <f>Tabla3[[#This Row],[EGRESOS]]/Tabla3[[#This Row],[TC]]</f>
        <v>1368.0536837606837</v>
      </c>
      <c r="K1281" s="136">
        <f>Tabla3[[#This Row],[INGRESOS]]/Tabla3[[#This Row],[TC]]</f>
        <v>0</v>
      </c>
      <c r="L1281" s="8" t="s">
        <v>303</v>
      </c>
      <c r="M1281" s="8" t="s">
        <v>304</v>
      </c>
      <c r="N1281" s="8" t="s">
        <v>20</v>
      </c>
      <c r="O1281" s="8" t="s">
        <v>197</v>
      </c>
      <c r="P1281" s="8" t="s">
        <v>198</v>
      </c>
      <c r="Q1281" s="8" t="s">
        <v>201</v>
      </c>
      <c r="R1281" s="8" t="s">
        <v>947</v>
      </c>
      <c r="S1281" s="8" t="s">
        <v>981</v>
      </c>
      <c r="T1281" s="8"/>
      <c r="U1281" s="8" t="s">
        <v>258</v>
      </c>
      <c r="V1281" s="8"/>
      <c r="W1281" s="8" t="s">
        <v>306</v>
      </c>
      <c r="X1281" s="8" t="s">
        <v>41</v>
      </c>
      <c r="Y1281" s="8" t="s">
        <v>23</v>
      </c>
    </row>
    <row r="1282" spans="1:25" s="7" customFormat="1" hidden="1" x14ac:dyDescent="0.25">
      <c r="A1282" s="283" t="s">
        <v>726</v>
      </c>
      <c r="B1282" s="260">
        <v>45852</v>
      </c>
      <c r="C1282" s="261" t="s">
        <v>699</v>
      </c>
      <c r="D1282" s="261"/>
      <c r="E1282" s="262">
        <v>0</v>
      </c>
      <c r="F1282" s="262">
        <v>61087561.5</v>
      </c>
      <c r="G1282" s="285">
        <f>Tabla3[[#This Row],[INGRESOS]]-Tabla3[[#This Row],[EGRESOS]]</f>
        <v>61087561.5</v>
      </c>
      <c r="H1282" s="285">
        <v>59221848</v>
      </c>
      <c r="I1282" s="135">
        <v>1170</v>
      </c>
      <c r="J1282" s="136">
        <f>Tabla3[[#This Row],[EGRESOS]]/Tabla3[[#This Row],[TC]]</f>
        <v>0</v>
      </c>
      <c r="K1282" s="136">
        <f>Tabla3[[#This Row],[INGRESOS]]/Tabla3[[#This Row],[TC]]</f>
        <v>52211.591025641028</v>
      </c>
      <c r="L1282" s="8" t="s">
        <v>303</v>
      </c>
      <c r="M1282" s="8" t="s">
        <v>304</v>
      </c>
      <c r="N1282" s="8" t="s">
        <v>20</v>
      </c>
      <c r="O1282" s="8" t="s">
        <v>742</v>
      </c>
      <c r="P1282" s="8" t="s">
        <v>1069</v>
      </c>
      <c r="Q1282" s="8" t="s">
        <v>962</v>
      </c>
      <c r="R1282" s="8" t="s">
        <v>983</v>
      </c>
      <c r="S1282" s="8" t="s">
        <v>700</v>
      </c>
      <c r="T1282" s="8" t="s">
        <v>984</v>
      </c>
      <c r="U1282" s="8" t="s">
        <v>270</v>
      </c>
      <c r="V1282" s="8"/>
      <c r="W1282" s="8" t="s">
        <v>306</v>
      </c>
      <c r="X1282" s="8" t="s">
        <v>23</v>
      </c>
      <c r="Y1282" s="8" t="s">
        <v>96</v>
      </c>
    </row>
    <row r="1283" spans="1:25" s="7" customFormat="1" hidden="1" x14ac:dyDescent="0.25">
      <c r="A1283" s="283" t="s">
        <v>726</v>
      </c>
      <c r="B1283" s="260">
        <v>45852</v>
      </c>
      <c r="C1283" s="261" t="s">
        <v>829</v>
      </c>
      <c r="D1283" s="261"/>
      <c r="E1283" s="262">
        <v>0</v>
      </c>
      <c r="F1283" s="262">
        <v>1050388.3899999999</v>
      </c>
      <c r="G1283" s="285">
        <f>Tabla3[[#This Row],[INGRESOS]]-Tabla3[[#This Row],[EGRESOS]]</f>
        <v>1050388.3899999999</v>
      </c>
      <c r="H1283" s="285">
        <v>60272236.450000003</v>
      </c>
      <c r="I1283" s="135">
        <v>1170</v>
      </c>
      <c r="J1283" s="136">
        <f>Tabla3[[#This Row],[EGRESOS]]/Tabla3[[#This Row],[TC]]</f>
        <v>0</v>
      </c>
      <c r="K1283" s="136">
        <f>Tabla3[[#This Row],[INGRESOS]]/Tabla3[[#This Row],[TC]]</f>
        <v>897.76785470085463</v>
      </c>
      <c r="L1283" s="8" t="s">
        <v>303</v>
      </c>
      <c r="M1283" s="8" t="s">
        <v>304</v>
      </c>
      <c r="N1283" s="8" t="s">
        <v>20</v>
      </c>
      <c r="O1283" s="8" t="s">
        <v>197</v>
      </c>
      <c r="P1283" s="8" t="s">
        <v>198</v>
      </c>
      <c r="Q1283" s="8" t="s">
        <v>201</v>
      </c>
      <c r="R1283" s="8" t="s">
        <v>831</v>
      </c>
      <c r="S1283" s="8" t="s">
        <v>682</v>
      </c>
      <c r="T1283" s="8"/>
      <c r="U1283" s="8" t="s">
        <v>269</v>
      </c>
      <c r="V1283" s="8"/>
      <c r="W1283" s="8" t="s">
        <v>306</v>
      </c>
      <c r="X1283" s="8" t="s">
        <v>23</v>
      </c>
      <c r="Y1283" s="8" t="s">
        <v>96</v>
      </c>
    </row>
    <row r="1284" spans="1:25" s="7" customFormat="1" hidden="1" x14ac:dyDescent="0.25">
      <c r="A1284" s="283" t="s">
        <v>726</v>
      </c>
      <c r="B1284" s="260">
        <v>45852</v>
      </c>
      <c r="C1284" s="261" t="s">
        <v>637</v>
      </c>
      <c r="D1284" s="261"/>
      <c r="E1284" s="262">
        <v>372827.7</v>
      </c>
      <c r="F1284" s="262">
        <v>0</v>
      </c>
      <c r="G1284" s="285">
        <f>Tabla3[[#This Row],[INGRESOS]]-Tabla3[[#This Row],[EGRESOS]]</f>
        <v>-372827.7</v>
      </c>
      <c r="H1284" s="285">
        <v>59899408.75</v>
      </c>
      <c r="I1284" s="135">
        <v>1170</v>
      </c>
      <c r="J1284" s="136">
        <f>Tabla3[[#This Row],[EGRESOS]]/Tabla3[[#This Row],[TC]]</f>
        <v>318.65615384615387</v>
      </c>
      <c r="K1284" s="136">
        <f>Tabla3[[#This Row],[INGRESOS]]/Tabla3[[#This Row],[TC]]</f>
        <v>0</v>
      </c>
      <c r="L1284" s="8" t="s">
        <v>303</v>
      </c>
      <c r="M1284" s="8" t="s">
        <v>304</v>
      </c>
      <c r="N1284" s="8" t="s">
        <v>20</v>
      </c>
      <c r="O1284" s="8" t="s">
        <v>184</v>
      </c>
      <c r="P1284" s="8" t="s">
        <v>187</v>
      </c>
      <c r="Q1284" s="8" t="s">
        <v>188</v>
      </c>
      <c r="R1284" s="8" t="s">
        <v>317</v>
      </c>
      <c r="S1284" s="8"/>
      <c r="T1284" s="8"/>
      <c r="U1284" s="8" t="s">
        <v>261</v>
      </c>
      <c r="V1284" s="8"/>
      <c r="W1284" s="8" t="s">
        <v>306</v>
      </c>
      <c r="X1284" s="8" t="s">
        <v>98</v>
      </c>
      <c r="Y1284" s="8" t="s">
        <v>23</v>
      </c>
    </row>
    <row r="1285" spans="1:25" s="7" customFormat="1" hidden="1" x14ac:dyDescent="0.25">
      <c r="A1285" s="283" t="s">
        <v>726</v>
      </c>
      <c r="B1285" s="260">
        <v>45852</v>
      </c>
      <c r="C1285" s="261" t="s">
        <v>943</v>
      </c>
      <c r="D1285" s="261"/>
      <c r="E1285" s="262">
        <v>15603.74</v>
      </c>
      <c r="F1285" s="262">
        <v>0</v>
      </c>
      <c r="G1285" s="285">
        <f>Tabla3[[#This Row],[INGRESOS]]-Tabla3[[#This Row],[EGRESOS]]</f>
        <v>-15603.74</v>
      </c>
      <c r="H1285" s="285">
        <v>59883805.009999998</v>
      </c>
      <c r="I1285" s="135">
        <v>1170</v>
      </c>
      <c r="J1285" s="136">
        <f>Tabla3[[#This Row],[EGRESOS]]/Tabla3[[#This Row],[TC]]</f>
        <v>13.336529914529914</v>
      </c>
      <c r="K1285" s="136">
        <f>Tabla3[[#This Row],[INGRESOS]]/Tabla3[[#This Row],[TC]]</f>
        <v>0</v>
      </c>
      <c r="L1285" s="8" t="s">
        <v>303</v>
      </c>
      <c r="M1285" s="8" t="s">
        <v>304</v>
      </c>
      <c r="N1285" s="8" t="s">
        <v>20</v>
      </c>
      <c r="O1285" s="8" t="s">
        <v>184</v>
      </c>
      <c r="P1285" s="8" t="s">
        <v>187</v>
      </c>
      <c r="Q1285" s="8" t="s">
        <v>188</v>
      </c>
      <c r="R1285" s="8" t="s">
        <v>317</v>
      </c>
      <c r="S1285" s="8"/>
      <c r="T1285" s="8"/>
      <c r="U1285" s="8" t="s">
        <v>261</v>
      </c>
      <c r="V1285" s="8"/>
      <c r="W1285" s="8" t="s">
        <v>306</v>
      </c>
      <c r="X1285" s="8" t="s">
        <v>98</v>
      </c>
      <c r="Y1285" s="8" t="s">
        <v>23</v>
      </c>
    </row>
    <row r="1286" spans="1:25" s="7" customFormat="1" x14ac:dyDescent="0.25">
      <c r="A1286" s="283" t="s">
        <v>726</v>
      </c>
      <c r="B1286" s="260">
        <v>45853</v>
      </c>
      <c r="C1286" s="261" t="s">
        <v>521</v>
      </c>
      <c r="D1286" s="261" t="s">
        <v>982</v>
      </c>
      <c r="E1286" s="262">
        <v>1086667</v>
      </c>
      <c r="F1286" s="262">
        <v>0</v>
      </c>
      <c r="G1286" s="285">
        <f>Tabla3[[#This Row],[INGRESOS]]-Tabla3[[#This Row],[EGRESOS]]</f>
        <v>-1086667</v>
      </c>
      <c r="H1286" s="285">
        <v>58797138.009999998</v>
      </c>
      <c r="I1286" s="135">
        <v>1170</v>
      </c>
      <c r="J1286" s="136">
        <f>Tabla3[[#This Row],[EGRESOS]]/Tabla3[[#This Row],[TC]]</f>
        <v>928.77521367521365</v>
      </c>
      <c r="K1286" s="136">
        <f>Tabla3[[#This Row],[INGRESOS]]/Tabla3[[#This Row],[TC]]</f>
        <v>0</v>
      </c>
      <c r="L1286" s="8" t="s">
        <v>303</v>
      </c>
      <c r="M1286" s="8" t="s">
        <v>304</v>
      </c>
      <c r="N1286" s="8" t="s">
        <v>20</v>
      </c>
      <c r="O1286" s="8" t="s">
        <v>742</v>
      </c>
      <c r="P1286" s="8" t="s">
        <v>220</v>
      </c>
      <c r="Q1286" s="8" t="s">
        <v>736</v>
      </c>
      <c r="R1286" s="8" t="s">
        <v>985</v>
      </c>
      <c r="S1286" s="8" t="s">
        <v>876</v>
      </c>
      <c r="T1286" s="8"/>
      <c r="U1286" s="8" t="s">
        <v>258</v>
      </c>
      <c r="V1286" s="8"/>
      <c r="W1286" s="8" t="s">
        <v>306</v>
      </c>
      <c r="X1286" s="8" t="s">
        <v>29</v>
      </c>
      <c r="Y1286" s="8" t="s">
        <v>23</v>
      </c>
    </row>
    <row r="1287" spans="1:25" s="7" customFormat="1" hidden="1" x14ac:dyDescent="0.25">
      <c r="A1287" s="283" t="s">
        <v>726</v>
      </c>
      <c r="B1287" s="260">
        <v>45853</v>
      </c>
      <c r="C1287" s="261" t="s">
        <v>323</v>
      </c>
      <c r="D1287" s="261"/>
      <c r="E1287" s="262">
        <v>25000000</v>
      </c>
      <c r="F1287" s="262">
        <v>0</v>
      </c>
      <c r="G1287" s="285">
        <f>Tabla3[[#This Row],[INGRESOS]]-Tabla3[[#This Row],[EGRESOS]]</f>
        <v>-25000000</v>
      </c>
      <c r="H1287" s="285">
        <v>33797138.009999998</v>
      </c>
      <c r="I1287" s="135">
        <v>1170</v>
      </c>
      <c r="J1287" s="136">
        <f>Tabla3[[#This Row],[EGRESOS]]/Tabla3[[#This Row],[TC]]</f>
        <v>21367.521367521367</v>
      </c>
      <c r="K1287" s="136">
        <f>Tabla3[[#This Row],[INGRESOS]]/Tabla3[[#This Row],[TC]]</f>
        <v>0</v>
      </c>
      <c r="L1287" s="8" t="s">
        <v>303</v>
      </c>
      <c r="M1287" s="8" t="s">
        <v>304</v>
      </c>
      <c r="N1287" s="8" t="s">
        <v>20</v>
      </c>
      <c r="O1287" s="8" t="s">
        <v>214</v>
      </c>
      <c r="P1287" s="8" t="s">
        <v>216</v>
      </c>
      <c r="Q1287" s="8" t="s">
        <v>217</v>
      </c>
      <c r="R1287" s="8" t="s">
        <v>686</v>
      </c>
      <c r="S1287" s="8"/>
      <c r="T1287" s="8"/>
      <c r="U1287" s="8" t="s">
        <v>262</v>
      </c>
      <c r="V1287" s="8"/>
      <c r="W1287" s="8" t="s">
        <v>306</v>
      </c>
      <c r="X1287" s="8"/>
      <c r="Y1287" s="8"/>
    </row>
    <row r="1288" spans="1:25" s="7" customFormat="1" hidden="1" x14ac:dyDescent="0.25">
      <c r="A1288" s="283" t="s">
        <v>726</v>
      </c>
      <c r="B1288" s="260">
        <v>45853</v>
      </c>
      <c r="C1288" s="261" t="s">
        <v>571</v>
      </c>
      <c r="D1288" s="261"/>
      <c r="E1288" s="262">
        <v>121</v>
      </c>
      <c r="F1288" s="262">
        <v>0</v>
      </c>
      <c r="G1288" s="285">
        <f>Tabla3[[#This Row],[INGRESOS]]-Tabla3[[#This Row],[EGRESOS]]</f>
        <v>-121</v>
      </c>
      <c r="H1288" s="285">
        <v>33797017.009999998</v>
      </c>
      <c r="I1288" s="135">
        <v>1170</v>
      </c>
      <c r="J1288" s="136">
        <f>Tabla3[[#This Row],[EGRESOS]]/Tabla3[[#This Row],[TC]]</f>
        <v>0.10341880341880341</v>
      </c>
      <c r="K1288" s="136">
        <f>Tabla3[[#This Row],[INGRESOS]]/Tabla3[[#This Row],[TC]]</f>
        <v>0</v>
      </c>
      <c r="L1288" s="8" t="s">
        <v>303</v>
      </c>
      <c r="M1288" s="8" t="s">
        <v>304</v>
      </c>
      <c r="N1288" s="8" t="s">
        <v>20</v>
      </c>
      <c r="O1288" s="8" t="s">
        <v>184</v>
      </c>
      <c r="P1288" s="8" t="s">
        <v>185</v>
      </c>
      <c r="Q1288" s="8" t="s">
        <v>186</v>
      </c>
      <c r="R1288" s="8"/>
      <c r="S1288" s="8"/>
      <c r="T1288" s="8"/>
      <c r="U1288" s="8" t="s">
        <v>261</v>
      </c>
      <c r="V1288" s="8"/>
      <c r="W1288" s="8" t="s">
        <v>306</v>
      </c>
      <c r="X1288" s="8" t="s">
        <v>98</v>
      </c>
      <c r="Y1288" s="8" t="s">
        <v>23</v>
      </c>
    </row>
    <row r="1289" spans="1:25" s="7" customFormat="1" hidden="1" x14ac:dyDescent="0.25">
      <c r="A1289" s="283" t="s">
        <v>726</v>
      </c>
      <c r="B1289" s="260">
        <v>45853</v>
      </c>
      <c r="C1289" s="261" t="s">
        <v>987</v>
      </c>
      <c r="D1289" s="261"/>
      <c r="E1289" s="262">
        <v>18000</v>
      </c>
      <c r="F1289" s="262">
        <v>0</v>
      </c>
      <c r="G1289" s="285">
        <f>Tabla3[[#This Row],[INGRESOS]]-Tabla3[[#This Row],[EGRESOS]]</f>
        <v>-18000</v>
      </c>
      <c r="H1289" s="285">
        <v>33779017.009999998</v>
      </c>
      <c r="I1289" s="135">
        <v>1170</v>
      </c>
      <c r="J1289" s="136">
        <f>Tabla3[[#This Row],[EGRESOS]]/Tabla3[[#This Row],[TC]]</f>
        <v>15.384615384615385</v>
      </c>
      <c r="K1289" s="136">
        <f>Tabla3[[#This Row],[INGRESOS]]/Tabla3[[#This Row],[TC]]</f>
        <v>0</v>
      </c>
      <c r="L1289" s="8" t="s">
        <v>303</v>
      </c>
      <c r="M1289" s="8" t="s">
        <v>304</v>
      </c>
      <c r="N1289" s="8" t="s">
        <v>20</v>
      </c>
      <c r="O1289" s="8" t="s">
        <v>197</v>
      </c>
      <c r="P1289" s="8" t="s">
        <v>198</v>
      </c>
      <c r="Q1289" s="8" t="s">
        <v>998</v>
      </c>
      <c r="R1289" s="8" t="s">
        <v>999</v>
      </c>
      <c r="S1289" s="8"/>
      <c r="T1289" s="8"/>
      <c r="U1289" s="8" t="s">
        <v>261</v>
      </c>
      <c r="V1289" s="8"/>
      <c r="W1289" s="8" t="s">
        <v>306</v>
      </c>
      <c r="X1289" s="8" t="s">
        <v>98</v>
      </c>
      <c r="Y1289" s="8" t="s">
        <v>23</v>
      </c>
    </row>
    <row r="1290" spans="1:25" s="7" customFormat="1" hidden="1" x14ac:dyDescent="0.25">
      <c r="A1290" s="283" t="s">
        <v>726</v>
      </c>
      <c r="B1290" s="260">
        <v>45853</v>
      </c>
      <c r="C1290" s="261" t="s">
        <v>542</v>
      </c>
      <c r="D1290" s="261"/>
      <c r="E1290" s="262">
        <v>3000</v>
      </c>
      <c r="F1290" s="262">
        <v>0</v>
      </c>
      <c r="G1290" s="285">
        <f>Tabla3[[#This Row],[INGRESOS]]-Tabla3[[#This Row],[EGRESOS]]</f>
        <v>-3000</v>
      </c>
      <c r="H1290" s="285">
        <v>33776017.009999998</v>
      </c>
      <c r="I1290" s="135">
        <v>1170</v>
      </c>
      <c r="J1290" s="136">
        <f>Tabla3[[#This Row],[EGRESOS]]/Tabla3[[#This Row],[TC]]</f>
        <v>2.5641025641025643</v>
      </c>
      <c r="K1290" s="136">
        <f>Tabla3[[#This Row],[INGRESOS]]/Tabla3[[#This Row],[TC]]</f>
        <v>0</v>
      </c>
      <c r="L1290" s="8" t="s">
        <v>303</v>
      </c>
      <c r="M1290" s="8" t="s">
        <v>304</v>
      </c>
      <c r="N1290" s="8" t="s">
        <v>20</v>
      </c>
      <c r="O1290" s="8" t="s">
        <v>204</v>
      </c>
      <c r="P1290" s="8" t="s">
        <v>210</v>
      </c>
      <c r="Q1290" s="8" t="s">
        <v>229</v>
      </c>
      <c r="R1290" s="8" t="s">
        <v>991</v>
      </c>
      <c r="S1290" s="8" t="s">
        <v>992</v>
      </c>
      <c r="T1290" s="8"/>
      <c r="U1290" s="8" t="s">
        <v>258</v>
      </c>
      <c r="V1290" s="8"/>
      <c r="W1290" s="8" t="s">
        <v>306</v>
      </c>
      <c r="X1290" s="8" t="s">
        <v>29</v>
      </c>
      <c r="Y1290" s="8" t="s">
        <v>23</v>
      </c>
    </row>
    <row r="1291" spans="1:25" s="7" customFormat="1" hidden="1" x14ac:dyDescent="0.25">
      <c r="A1291" s="283" t="s">
        <v>726</v>
      </c>
      <c r="B1291" s="260">
        <v>45853</v>
      </c>
      <c r="C1291" s="261" t="s">
        <v>542</v>
      </c>
      <c r="D1291" s="261"/>
      <c r="E1291" s="262">
        <v>16200</v>
      </c>
      <c r="F1291" s="262">
        <v>0</v>
      </c>
      <c r="G1291" s="285">
        <f>Tabla3[[#This Row],[INGRESOS]]-Tabla3[[#This Row],[EGRESOS]]</f>
        <v>-16200</v>
      </c>
      <c r="H1291" s="285">
        <v>33759817.009999998</v>
      </c>
      <c r="I1291" s="135">
        <v>1170</v>
      </c>
      <c r="J1291" s="136">
        <f>Tabla3[[#This Row],[EGRESOS]]/Tabla3[[#This Row],[TC]]</f>
        <v>13.846153846153847</v>
      </c>
      <c r="K1291" s="136">
        <f>Tabla3[[#This Row],[INGRESOS]]/Tabla3[[#This Row],[TC]]</f>
        <v>0</v>
      </c>
      <c r="L1291" s="8" t="s">
        <v>303</v>
      </c>
      <c r="M1291" s="8" t="s">
        <v>304</v>
      </c>
      <c r="N1291" s="8" t="s">
        <v>20</v>
      </c>
      <c r="O1291" s="8" t="s">
        <v>204</v>
      </c>
      <c r="P1291" s="8" t="s">
        <v>210</v>
      </c>
      <c r="Q1291" s="8" t="s">
        <v>33</v>
      </c>
      <c r="R1291" s="8" t="s">
        <v>994</v>
      </c>
      <c r="S1291" s="8" t="s">
        <v>993</v>
      </c>
      <c r="T1291" s="8"/>
      <c r="U1291" s="8" t="s">
        <v>258</v>
      </c>
      <c r="V1291" s="8"/>
      <c r="W1291" s="8" t="s">
        <v>306</v>
      </c>
      <c r="X1291" s="8" t="s">
        <v>29</v>
      </c>
      <c r="Y1291" s="8" t="s">
        <v>23</v>
      </c>
    </row>
    <row r="1292" spans="1:25" s="7" customFormat="1" hidden="1" x14ac:dyDescent="0.25">
      <c r="A1292" s="283" t="s">
        <v>726</v>
      </c>
      <c r="B1292" s="260">
        <v>45853</v>
      </c>
      <c r="C1292" s="261" t="s">
        <v>542</v>
      </c>
      <c r="D1292" s="261"/>
      <c r="E1292" s="262">
        <v>96930</v>
      </c>
      <c r="F1292" s="262">
        <v>0</v>
      </c>
      <c r="G1292" s="285">
        <f>Tabla3[[#This Row],[INGRESOS]]-Tabla3[[#This Row],[EGRESOS]]</f>
        <v>-96930</v>
      </c>
      <c r="H1292" s="285">
        <v>33662887.009999998</v>
      </c>
      <c r="I1292" s="135">
        <v>1170</v>
      </c>
      <c r="J1292" s="136">
        <f>Tabla3[[#This Row],[EGRESOS]]/Tabla3[[#This Row],[TC]]</f>
        <v>82.84615384615384</v>
      </c>
      <c r="K1292" s="136">
        <f>Tabla3[[#This Row],[INGRESOS]]/Tabla3[[#This Row],[TC]]</f>
        <v>0</v>
      </c>
      <c r="L1292" s="8" t="s">
        <v>303</v>
      </c>
      <c r="M1292" s="8" t="s">
        <v>304</v>
      </c>
      <c r="N1292" s="8" t="s">
        <v>20</v>
      </c>
      <c r="O1292" s="8" t="s">
        <v>204</v>
      </c>
      <c r="P1292" s="8" t="s">
        <v>210</v>
      </c>
      <c r="Q1292" s="8" t="s">
        <v>996</v>
      </c>
      <c r="R1292" s="8" t="s">
        <v>997</v>
      </c>
      <c r="S1292" s="8" t="s">
        <v>990</v>
      </c>
      <c r="T1292" s="8"/>
      <c r="U1292" s="8" t="s">
        <v>258</v>
      </c>
      <c r="V1292" s="8"/>
      <c r="W1292" s="8" t="s">
        <v>306</v>
      </c>
      <c r="X1292" s="8" t="s">
        <v>29</v>
      </c>
      <c r="Y1292" s="8" t="s">
        <v>23</v>
      </c>
    </row>
    <row r="1293" spans="1:25" s="7" customFormat="1" hidden="1" x14ac:dyDescent="0.25">
      <c r="A1293" s="283" t="s">
        <v>726</v>
      </c>
      <c r="B1293" s="260">
        <v>45853</v>
      </c>
      <c r="C1293" s="261" t="s">
        <v>542</v>
      </c>
      <c r="D1293" s="261"/>
      <c r="E1293" s="262">
        <v>52519.98</v>
      </c>
      <c r="F1293" s="262">
        <v>0</v>
      </c>
      <c r="G1293" s="285">
        <f>Tabla3[[#This Row],[INGRESOS]]-Tabla3[[#This Row],[EGRESOS]]</f>
        <v>-52519.98</v>
      </c>
      <c r="H1293" s="285">
        <v>33610367.030000001</v>
      </c>
      <c r="I1293" s="135">
        <v>1170</v>
      </c>
      <c r="J1293" s="136">
        <f>Tabla3[[#This Row],[EGRESOS]]/Tabla3[[#This Row],[TC]]</f>
        <v>44.888871794871797</v>
      </c>
      <c r="K1293" s="136">
        <f>Tabla3[[#This Row],[INGRESOS]]/Tabla3[[#This Row],[TC]]</f>
        <v>0</v>
      </c>
      <c r="L1293" s="8" t="s">
        <v>303</v>
      </c>
      <c r="M1293" s="8" t="s">
        <v>304</v>
      </c>
      <c r="N1293" s="8" t="s">
        <v>20</v>
      </c>
      <c r="O1293" s="8" t="s">
        <v>204</v>
      </c>
      <c r="P1293" s="8" t="s">
        <v>210</v>
      </c>
      <c r="Q1293" s="8" t="s">
        <v>33</v>
      </c>
      <c r="R1293" s="8"/>
      <c r="S1293" s="8" t="s">
        <v>559</v>
      </c>
      <c r="T1293" s="8"/>
      <c r="U1293" s="8" t="s">
        <v>258</v>
      </c>
      <c r="V1293" s="8"/>
      <c r="W1293" s="8" t="s">
        <v>306</v>
      </c>
      <c r="X1293" s="8" t="s">
        <v>29</v>
      </c>
      <c r="Y1293" s="8" t="s">
        <v>23</v>
      </c>
    </row>
    <row r="1294" spans="1:25" s="7" customFormat="1" hidden="1" x14ac:dyDescent="0.25">
      <c r="A1294" s="283" t="s">
        <v>726</v>
      </c>
      <c r="B1294" s="260">
        <v>45853</v>
      </c>
      <c r="C1294" s="261" t="s">
        <v>943</v>
      </c>
      <c r="D1294" s="261"/>
      <c r="E1294" s="262">
        <v>7640.63</v>
      </c>
      <c r="F1294" s="262">
        <v>0</v>
      </c>
      <c r="G1294" s="285">
        <f>Tabla3[[#This Row],[INGRESOS]]-Tabla3[[#This Row],[EGRESOS]]</f>
        <v>-7640.63</v>
      </c>
      <c r="H1294" s="285">
        <v>33602726.399999999</v>
      </c>
      <c r="I1294" s="135">
        <v>1170</v>
      </c>
      <c r="J1294" s="136">
        <f>Tabla3[[#This Row],[EGRESOS]]/Tabla3[[#This Row],[TC]]</f>
        <v>6.5304529914529912</v>
      </c>
      <c r="K1294" s="136">
        <f>Tabla3[[#This Row],[INGRESOS]]/Tabla3[[#This Row],[TC]]</f>
        <v>0</v>
      </c>
      <c r="L1294" s="8" t="s">
        <v>303</v>
      </c>
      <c r="M1294" s="8" t="s">
        <v>304</v>
      </c>
      <c r="N1294" s="8" t="s">
        <v>20</v>
      </c>
      <c r="O1294" s="8" t="s">
        <v>184</v>
      </c>
      <c r="P1294" s="8" t="s">
        <v>187</v>
      </c>
      <c r="Q1294" s="8" t="s">
        <v>188</v>
      </c>
      <c r="R1294" s="8" t="s">
        <v>317</v>
      </c>
      <c r="S1294" s="8"/>
      <c r="T1294" s="8"/>
      <c r="U1294" s="8" t="s">
        <v>261</v>
      </c>
      <c r="V1294" s="8"/>
      <c r="W1294" s="8" t="s">
        <v>306</v>
      </c>
      <c r="X1294" s="8" t="s">
        <v>98</v>
      </c>
      <c r="Y1294" s="8" t="s">
        <v>23</v>
      </c>
    </row>
    <row r="1295" spans="1:25" s="7" customFormat="1" hidden="1" x14ac:dyDescent="0.25">
      <c r="A1295" s="283" t="s">
        <v>726</v>
      </c>
      <c r="B1295" s="260">
        <v>45854</v>
      </c>
      <c r="C1295" s="261" t="s">
        <v>521</v>
      </c>
      <c r="D1295" s="261" t="s">
        <v>989</v>
      </c>
      <c r="E1295" s="262">
        <v>4200000</v>
      </c>
      <c r="F1295" s="262">
        <v>0</v>
      </c>
      <c r="G1295" s="285">
        <f>Tabla3[[#This Row],[INGRESOS]]-Tabla3[[#This Row],[EGRESOS]]</f>
        <v>-4200000</v>
      </c>
      <c r="H1295" s="285">
        <v>29402726.399999999</v>
      </c>
      <c r="I1295" s="135">
        <v>1170</v>
      </c>
      <c r="J1295" s="136">
        <f>Tabla3[[#This Row],[EGRESOS]]/Tabla3[[#This Row],[TC]]</f>
        <v>3589.7435897435898</v>
      </c>
      <c r="K1295" s="136">
        <f>Tabla3[[#This Row],[INGRESOS]]/Tabla3[[#This Row],[TC]]</f>
        <v>0</v>
      </c>
      <c r="L1295" s="8" t="s">
        <v>303</v>
      </c>
      <c r="M1295" s="8" t="s">
        <v>304</v>
      </c>
      <c r="N1295" s="8" t="s">
        <v>20</v>
      </c>
      <c r="O1295" s="8" t="s">
        <v>197</v>
      </c>
      <c r="P1295" s="8" t="s">
        <v>198</v>
      </c>
      <c r="Q1295" s="8" t="s">
        <v>201</v>
      </c>
      <c r="R1295" s="8" t="s">
        <v>827</v>
      </c>
      <c r="S1295" s="8" t="s">
        <v>815</v>
      </c>
      <c r="T1295" s="8"/>
      <c r="U1295" s="8" t="s">
        <v>258</v>
      </c>
      <c r="V1295" s="8"/>
      <c r="W1295" s="8" t="s">
        <v>306</v>
      </c>
      <c r="X1295" s="8" t="s">
        <v>29</v>
      </c>
      <c r="Y1295" s="8" t="s">
        <v>23</v>
      </c>
    </row>
    <row r="1296" spans="1:25" s="7" customFormat="1" x14ac:dyDescent="0.25">
      <c r="A1296" s="283" t="s">
        <v>726</v>
      </c>
      <c r="B1296" s="260">
        <v>45854</v>
      </c>
      <c r="C1296" s="261" t="s">
        <v>521</v>
      </c>
      <c r="D1296" s="261" t="s">
        <v>988</v>
      </c>
      <c r="E1296" s="262">
        <v>5807565</v>
      </c>
      <c r="F1296" s="262">
        <v>0</v>
      </c>
      <c r="G1296" s="285">
        <f>Tabla3[[#This Row],[INGRESOS]]-Tabla3[[#This Row],[EGRESOS]]</f>
        <v>-5807565</v>
      </c>
      <c r="H1296" s="285">
        <v>23595161.399999999</v>
      </c>
      <c r="I1296" s="135">
        <v>1170</v>
      </c>
      <c r="J1296" s="136">
        <f>Tabla3[[#This Row],[EGRESOS]]/Tabla3[[#This Row],[TC]]</f>
        <v>4963.7307692307695</v>
      </c>
      <c r="K1296" s="136">
        <f>Tabla3[[#This Row],[INGRESOS]]/Tabla3[[#This Row],[TC]]</f>
        <v>0</v>
      </c>
      <c r="L1296" s="8" t="s">
        <v>303</v>
      </c>
      <c r="M1296" s="8" t="s">
        <v>304</v>
      </c>
      <c r="N1296" s="8" t="s">
        <v>20</v>
      </c>
      <c r="O1296" s="8" t="s">
        <v>742</v>
      </c>
      <c r="P1296" s="8" t="s">
        <v>220</v>
      </c>
      <c r="Q1296" s="8" t="s">
        <v>939</v>
      </c>
      <c r="R1296" s="8" t="s">
        <v>995</v>
      </c>
      <c r="S1296" s="8" t="s">
        <v>63</v>
      </c>
      <c r="T1296" s="8"/>
      <c r="U1296" s="8" t="s">
        <v>258</v>
      </c>
      <c r="V1296" s="8"/>
      <c r="W1296" s="8" t="s">
        <v>306</v>
      </c>
      <c r="X1296" s="8" t="s">
        <v>41</v>
      </c>
      <c r="Y1296" s="8" t="s">
        <v>23</v>
      </c>
    </row>
    <row r="1297" spans="1:25" s="7" customFormat="1" hidden="1" x14ac:dyDescent="0.25">
      <c r="A1297" s="283" t="s">
        <v>726</v>
      </c>
      <c r="B1297" s="260">
        <v>45854</v>
      </c>
      <c r="C1297" s="261" t="s">
        <v>542</v>
      </c>
      <c r="D1297" s="261"/>
      <c r="E1297" s="262">
        <v>311050</v>
      </c>
      <c r="F1297" s="262">
        <v>0</v>
      </c>
      <c r="G1297" s="285">
        <f>Tabla3[[#This Row],[INGRESOS]]-Tabla3[[#This Row],[EGRESOS]]</f>
        <v>-311050</v>
      </c>
      <c r="H1297" s="285">
        <v>23284111.399999999</v>
      </c>
      <c r="I1297" s="135">
        <v>1170</v>
      </c>
      <c r="J1297" s="136">
        <f>Tabla3[[#This Row],[EGRESOS]]/Tabla3[[#This Row],[TC]]</f>
        <v>265.85470085470087</v>
      </c>
      <c r="K1297" s="136">
        <f>Tabla3[[#This Row],[INGRESOS]]/Tabla3[[#This Row],[TC]]</f>
        <v>0</v>
      </c>
      <c r="L1297" s="8" t="s">
        <v>303</v>
      </c>
      <c r="M1297" s="8" t="s">
        <v>304</v>
      </c>
      <c r="N1297" s="8" t="s">
        <v>20</v>
      </c>
      <c r="O1297" s="8" t="s">
        <v>184</v>
      </c>
      <c r="P1297" s="8" t="s">
        <v>237</v>
      </c>
      <c r="Q1297" s="8" t="s">
        <v>248</v>
      </c>
      <c r="R1297" s="8"/>
      <c r="S1297" s="8" t="s">
        <v>418</v>
      </c>
      <c r="T1297" s="8"/>
      <c r="U1297" s="8" t="s">
        <v>273</v>
      </c>
      <c r="V1297" s="8"/>
      <c r="W1297" s="8" t="s">
        <v>306</v>
      </c>
      <c r="X1297" s="8" t="s">
        <v>953</v>
      </c>
      <c r="Y1297" s="8" t="s">
        <v>23</v>
      </c>
    </row>
    <row r="1298" spans="1:25" s="7" customFormat="1" hidden="1" x14ac:dyDescent="0.25">
      <c r="A1298" s="283" t="s">
        <v>726</v>
      </c>
      <c r="B1298" s="260">
        <v>45854</v>
      </c>
      <c r="C1298" s="261" t="s">
        <v>571</v>
      </c>
      <c r="D1298" s="261"/>
      <c r="E1298" s="262">
        <v>121</v>
      </c>
      <c r="F1298" s="262">
        <v>0</v>
      </c>
      <c r="G1298" s="285">
        <f>Tabla3[[#This Row],[INGRESOS]]-Tabla3[[#This Row],[EGRESOS]]</f>
        <v>-121</v>
      </c>
      <c r="H1298" s="285">
        <v>23283990.399999999</v>
      </c>
      <c r="I1298" s="135">
        <v>1170</v>
      </c>
      <c r="J1298" s="136">
        <f>Tabla3[[#This Row],[EGRESOS]]/Tabla3[[#This Row],[TC]]</f>
        <v>0.10341880341880341</v>
      </c>
      <c r="K1298" s="136">
        <f>Tabla3[[#This Row],[INGRESOS]]/Tabla3[[#This Row],[TC]]</f>
        <v>0</v>
      </c>
      <c r="L1298" s="8" t="s">
        <v>303</v>
      </c>
      <c r="M1298" s="8" t="s">
        <v>304</v>
      </c>
      <c r="N1298" s="8" t="s">
        <v>20</v>
      </c>
      <c r="O1298" s="8" t="s">
        <v>184</v>
      </c>
      <c r="P1298" s="8" t="s">
        <v>187</v>
      </c>
      <c r="Q1298" s="8" t="s">
        <v>188</v>
      </c>
      <c r="R1298" s="8" t="s">
        <v>317</v>
      </c>
      <c r="S1298" s="8"/>
      <c r="T1298" s="8"/>
      <c r="U1298" s="8" t="s">
        <v>261</v>
      </c>
      <c r="V1298" s="8"/>
      <c r="W1298" s="8" t="s">
        <v>306</v>
      </c>
      <c r="X1298" s="8" t="s">
        <v>98</v>
      </c>
      <c r="Y1298" s="8" t="s">
        <v>23</v>
      </c>
    </row>
    <row r="1299" spans="1:25" s="7" customFormat="1" hidden="1" x14ac:dyDescent="0.25">
      <c r="A1299" s="283" t="s">
        <v>726</v>
      </c>
      <c r="B1299" s="260">
        <v>45854</v>
      </c>
      <c r="C1299" s="261" t="s">
        <v>680</v>
      </c>
      <c r="D1299" s="261"/>
      <c r="E1299" s="262">
        <v>0</v>
      </c>
      <c r="F1299" s="262">
        <v>28022219.68</v>
      </c>
      <c r="G1299" s="285">
        <f>Tabla3[[#This Row],[INGRESOS]]-Tabla3[[#This Row],[EGRESOS]]</f>
        <v>28022219.68</v>
      </c>
      <c r="H1299" s="285">
        <v>51306210.079999998</v>
      </c>
      <c r="I1299" s="135">
        <v>1170</v>
      </c>
      <c r="J1299" s="136">
        <f>Tabla3[[#This Row],[EGRESOS]]/Tabla3[[#This Row],[TC]]</f>
        <v>0</v>
      </c>
      <c r="K1299" s="136">
        <f>Tabla3[[#This Row],[INGRESOS]]/Tabla3[[#This Row],[TC]]</f>
        <v>23950.61511111111</v>
      </c>
      <c r="L1299" s="8" t="s">
        <v>303</v>
      </c>
      <c r="M1299" s="8" t="s">
        <v>304</v>
      </c>
      <c r="N1299" s="8" t="s">
        <v>20</v>
      </c>
      <c r="O1299" s="8" t="s">
        <v>197</v>
      </c>
      <c r="P1299" s="8" t="s">
        <v>198</v>
      </c>
      <c r="Q1299" s="8" t="s">
        <v>201</v>
      </c>
      <c r="R1299" s="8" t="s">
        <v>681</v>
      </c>
      <c r="S1299" s="8" t="s">
        <v>682</v>
      </c>
      <c r="T1299" s="8"/>
      <c r="U1299" s="8" t="s">
        <v>269</v>
      </c>
      <c r="V1299" s="8"/>
      <c r="W1299" s="8" t="s">
        <v>306</v>
      </c>
      <c r="X1299" s="8" t="s">
        <v>23</v>
      </c>
      <c r="Y1299" s="8" t="s">
        <v>96</v>
      </c>
    </row>
    <row r="1300" spans="1:25" s="7" customFormat="1" hidden="1" x14ac:dyDescent="0.25">
      <c r="A1300" s="283" t="s">
        <v>726</v>
      </c>
      <c r="B1300" s="260">
        <v>45854</v>
      </c>
      <c r="C1300" s="261" t="s">
        <v>699</v>
      </c>
      <c r="D1300" s="261"/>
      <c r="E1300" s="262">
        <v>0</v>
      </c>
      <c r="F1300" s="262">
        <v>63031230.5</v>
      </c>
      <c r="G1300" s="285">
        <f>Tabla3[[#This Row],[INGRESOS]]-Tabla3[[#This Row],[EGRESOS]]</f>
        <v>63031230.5</v>
      </c>
      <c r="H1300" s="285">
        <v>114337440.58</v>
      </c>
      <c r="I1300" s="135">
        <v>1170</v>
      </c>
      <c r="J1300" s="136">
        <f>Tabla3[[#This Row],[EGRESOS]]/Tabla3[[#This Row],[TC]]</f>
        <v>0</v>
      </c>
      <c r="K1300" s="136">
        <f>Tabla3[[#This Row],[INGRESOS]]/Tabla3[[#This Row],[TC]]</f>
        <v>53872.84658119658</v>
      </c>
      <c r="L1300" s="8" t="s">
        <v>303</v>
      </c>
      <c r="M1300" s="8" t="s">
        <v>304</v>
      </c>
      <c r="N1300" s="8" t="s">
        <v>20</v>
      </c>
      <c r="O1300" s="8" t="s">
        <v>742</v>
      </c>
      <c r="P1300" s="8" t="s">
        <v>1069</v>
      </c>
      <c r="Q1300" s="8" t="s">
        <v>933</v>
      </c>
      <c r="R1300" s="8" t="s">
        <v>1001</v>
      </c>
      <c r="S1300" s="8" t="s">
        <v>700</v>
      </c>
      <c r="T1300" s="8" t="s">
        <v>1002</v>
      </c>
      <c r="U1300" s="8" t="s">
        <v>270</v>
      </c>
      <c r="V1300" s="8"/>
      <c r="W1300" s="8" t="s">
        <v>306</v>
      </c>
      <c r="X1300" s="8" t="s">
        <v>23</v>
      </c>
      <c r="Y1300" s="8" t="s">
        <v>96</v>
      </c>
    </row>
    <row r="1301" spans="1:25" s="7" customFormat="1" hidden="1" x14ac:dyDescent="0.25">
      <c r="A1301" s="283" t="s">
        <v>726</v>
      </c>
      <c r="B1301" s="260">
        <v>45854</v>
      </c>
      <c r="C1301" s="261" t="s">
        <v>637</v>
      </c>
      <c r="D1301" s="261"/>
      <c r="E1301" s="262">
        <v>546320.69999999995</v>
      </c>
      <c r="F1301" s="262">
        <v>0</v>
      </c>
      <c r="G1301" s="285">
        <f>Tabla3[[#This Row],[INGRESOS]]-Tabla3[[#This Row],[EGRESOS]]</f>
        <v>-546320.69999999995</v>
      </c>
      <c r="H1301" s="285">
        <v>113791119.88</v>
      </c>
      <c r="I1301" s="135">
        <v>1170</v>
      </c>
      <c r="J1301" s="136">
        <f>Tabla3[[#This Row],[EGRESOS]]/Tabla3[[#This Row],[TC]]</f>
        <v>466.94076923076921</v>
      </c>
      <c r="K1301" s="136">
        <f>Tabla3[[#This Row],[INGRESOS]]/Tabla3[[#This Row],[TC]]</f>
        <v>0</v>
      </c>
      <c r="L1301" s="8" t="s">
        <v>303</v>
      </c>
      <c r="M1301" s="8" t="s">
        <v>304</v>
      </c>
      <c r="N1301" s="8" t="s">
        <v>20</v>
      </c>
      <c r="O1301" s="8" t="s">
        <v>184</v>
      </c>
      <c r="P1301" s="8" t="s">
        <v>187</v>
      </c>
      <c r="Q1301" s="8" t="s">
        <v>188</v>
      </c>
      <c r="R1301" s="8" t="s">
        <v>317</v>
      </c>
      <c r="S1301" s="8"/>
      <c r="T1301" s="8"/>
      <c r="U1301" s="8" t="s">
        <v>261</v>
      </c>
      <c r="V1301" s="8"/>
      <c r="W1301" s="8" t="s">
        <v>306</v>
      </c>
      <c r="X1301" s="8" t="s">
        <v>98</v>
      </c>
      <c r="Y1301" s="8" t="s">
        <v>23</v>
      </c>
    </row>
    <row r="1302" spans="1:25" s="7" customFormat="1" hidden="1" x14ac:dyDescent="0.25">
      <c r="A1302" s="283" t="s">
        <v>726</v>
      </c>
      <c r="B1302" s="260">
        <v>45854</v>
      </c>
      <c r="C1302" s="261" t="s">
        <v>943</v>
      </c>
      <c r="D1302" s="261"/>
      <c r="E1302" s="262">
        <v>61912.42</v>
      </c>
      <c r="F1302" s="262">
        <v>0</v>
      </c>
      <c r="G1302" s="285">
        <f>Tabla3[[#This Row],[INGRESOS]]-Tabla3[[#This Row],[EGRESOS]]</f>
        <v>-61912.42</v>
      </c>
      <c r="H1302" s="285">
        <v>113729207.45999999</v>
      </c>
      <c r="I1302" s="135">
        <v>1170</v>
      </c>
      <c r="J1302" s="136">
        <f>Tabla3[[#This Row],[EGRESOS]]/Tabla3[[#This Row],[TC]]</f>
        <v>52.916598290598287</v>
      </c>
      <c r="K1302" s="136">
        <f>Tabla3[[#This Row],[INGRESOS]]/Tabla3[[#This Row],[TC]]</f>
        <v>0</v>
      </c>
      <c r="L1302" s="8" t="s">
        <v>303</v>
      </c>
      <c r="M1302" s="8" t="s">
        <v>304</v>
      </c>
      <c r="N1302" s="8" t="s">
        <v>20</v>
      </c>
      <c r="O1302" s="8" t="s">
        <v>184</v>
      </c>
      <c r="P1302" s="8" t="s">
        <v>187</v>
      </c>
      <c r="Q1302" s="8" t="s">
        <v>188</v>
      </c>
      <c r="R1302" s="8" t="s">
        <v>317</v>
      </c>
      <c r="S1302" s="8"/>
      <c r="T1302" s="8"/>
      <c r="U1302" s="8" t="s">
        <v>261</v>
      </c>
      <c r="V1302" s="8"/>
      <c r="W1302" s="8" t="s">
        <v>306</v>
      </c>
      <c r="X1302" s="8" t="s">
        <v>98</v>
      </c>
      <c r="Y1302" s="8" t="s">
        <v>23</v>
      </c>
    </row>
    <row r="1303" spans="1:25" s="7" customFormat="1" x14ac:dyDescent="0.25">
      <c r="A1303" s="283" t="s">
        <v>726</v>
      </c>
      <c r="B1303" s="260">
        <v>45855</v>
      </c>
      <c r="C1303" s="261" t="s">
        <v>561</v>
      </c>
      <c r="D1303" s="261" t="s">
        <v>1000</v>
      </c>
      <c r="E1303" s="262">
        <v>440000</v>
      </c>
      <c r="F1303" s="262">
        <v>0</v>
      </c>
      <c r="G1303" s="285">
        <f>Tabla3[[#This Row],[INGRESOS]]-Tabla3[[#This Row],[EGRESOS]]</f>
        <v>-440000</v>
      </c>
      <c r="H1303" s="285">
        <v>113289207.45999999</v>
      </c>
      <c r="I1303" s="135">
        <v>1170</v>
      </c>
      <c r="J1303" s="136">
        <f>Tabla3[[#This Row],[EGRESOS]]/Tabla3[[#This Row],[TC]]</f>
        <v>376.0683760683761</v>
      </c>
      <c r="K1303" s="136">
        <f>Tabla3[[#This Row],[INGRESOS]]/Tabla3[[#This Row],[TC]]</f>
        <v>0</v>
      </c>
      <c r="L1303" s="8" t="s">
        <v>303</v>
      </c>
      <c r="M1303" s="8" t="s">
        <v>304</v>
      </c>
      <c r="N1303" s="8" t="s">
        <v>20</v>
      </c>
      <c r="O1303" s="8" t="s">
        <v>742</v>
      </c>
      <c r="P1303" s="8" t="s">
        <v>220</v>
      </c>
      <c r="Q1303" s="8" t="s">
        <v>199</v>
      </c>
      <c r="R1303" s="8" t="s">
        <v>226</v>
      </c>
      <c r="S1303" s="8" t="s">
        <v>548</v>
      </c>
      <c r="T1303" s="8" t="s">
        <v>1003</v>
      </c>
      <c r="U1303" s="8" t="s">
        <v>258</v>
      </c>
      <c r="V1303" s="8"/>
      <c r="W1303" s="8" t="s">
        <v>306</v>
      </c>
      <c r="X1303" s="8" t="s">
        <v>29</v>
      </c>
      <c r="Y1303" s="8" t="s">
        <v>23</v>
      </c>
    </row>
    <row r="1304" spans="1:25" s="7" customFormat="1" hidden="1" x14ac:dyDescent="0.25">
      <c r="A1304" s="283" t="s">
        <v>726</v>
      </c>
      <c r="B1304" s="260">
        <v>45855</v>
      </c>
      <c r="C1304" s="261" t="s">
        <v>542</v>
      </c>
      <c r="D1304" s="261"/>
      <c r="E1304" s="262">
        <v>4784051.95</v>
      </c>
      <c r="F1304" s="262">
        <v>0</v>
      </c>
      <c r="G1304" s="285">
        <f>Tabla3[[#This Row],[INGRESOS]]-Tabla3[[#This Row],[EGRESOS]]</f>
        <v>-4784051.95</v>
      </c>
      <c r="H1304" s="285">
        <v>108505155.51000001</v>
      </c>
      <c r="I1304" s="135">
        <v>1170</v>
      </c>
      <c r="J1304" s="136">
        <f>Tabla3[[#This Row],[EGRESOS]]/Tabla3[[#This Row],[TC]]</f>
        <v>4088.9332905982906</v>
      </c>
      <c r="K1304" s="136">
        <f>Tabla3[[#This Row],[INGRESOS]]/Tabla3[[#This Row],[TC]]</f>
        <v>0</v>
      </c>
      <c r="L1304" s="8" t="s">
        <v>303</v>
      </c>
      <c r="M1304" s="8" t="s">
        <v>304</v>
      </c>
      <c r="N1304" s="8" t="s">
        <v>20</v>
      </c>
      <c r="O1304" s="8" t="s">
        <v>197</v>
      </c>
      <c r="P1304" s="8" t="s">
        <v>198</v>
      </c>
      <c r="Q1304" s="8" t="s">
        <v>201</v>
      </c>
      <c r="R1304" s="8" t="s">
        <v>947</v>
      </c>
      <c r="S1304" s="8" t="s">
        <v>51</v>
      </c>
      <c r="T1304" s="8"/>
      <c r="U1304" s="8" t="s">
        <v>258</v>
      </c>
      <c r="V1304" s="8"/>
      <c r="W1304" s="8" t="s">
        <v>306</v>
      </c>
      <c r="X1304" s="8" t="s">
        <v>41</v>
      </c>
      <c r="Y1304" s="8" t="s">
        <v>23</v>
      </c>
    </row>
    <row r="1305" spans="1:25" s="7" customFormat="1" hidden="1" x14ac:dyDescent="0.25">
      <c r="A1305" s="283" t="s">
        <v>726</v>
      </c>
      <c r="B1305" s="260">
        <v>45855</v>
      </c>
      <c r="C1305" s="261" t="s">
        <v>571</v>
      </c>
      <c r="D1305" s="261"/>
      <c r="E1305" s="262">
        <v>121</v>
      </c>
      <c r="F1305" s="262">
        <v>0</v>
      </c>
      <c r="G1305" s="285">
        <f>Tabla3[[#This Row],[INGRESOS]]-Tabla3[[#This Row],[EGRESOS]]</f>
        <v>-121</v>
      </c>
      <c r="H1305" s="285">
        <v>108505034.51000001</v>
      </c>
      <c r="I1305" s="135">
        <v>1170</v>
      </c>
      <c r="J1305" s="136">
        <f>Tabla3[[#This Row],[EGRESOS]]/Tabla3[[#This Row],[TC]]</f>
        <v>0.10341880341880341</v>
      </c>
      <c r="K1305" s="136">
        <f>Tabla3[[#This Row],[INGRESOS]]/Tabla3[[#This Row],[TC]]</f>
        <v>0</v>
      </c>
      <c r="L1305" s="8" t="s">
        <v>303</v>
      </c>
      <c r="M1305" s="8" t="s">
        <v>304</v>
      </c>
      <c r="N1305" s="8" t="s">
        <v>20</v>
      </c>
      <c r="O1305" s="8" t="s">
        <v>184</v>
      </c>
      <c r="P1305" s="8" t="s">
        <v>187</v>
      </c>
      <c r="Q1305" s="8" t="s">
        <v>188</v>
      </c>
      <c r="R1305" s="8" t="s">
        <v>317</v>
      </c>
      <c r="S1305" s="8"/>
      <c r="T1305" s="8"/>
      <c r="U1305" s="8" t="s">
        <v>261</v>
      </c>
      <c r="V1305" s="8"/>
      <c r="W1305" s="8" t="s">
        <v>306</v>
      </c>
      <c r="X1305" s="8" t="s">
        <v>98</v>
      </c>
      <c r="Y1305" s="8" t="s">
        <v>23</v>
      </c>
    </row>
    <row r="1306" spans="1:25" s="7" customFormat="1" hidden="1" x14ac:dyDescent="0.25">
      <c r="A1306" s="283" t="s">
        <v>726</v>
      </c>
      <c r="B1306" s="260">
        <v>45855</v>
      </c>
      <c r="C1306" s="261" t="s">
        <v>542</v>
      </c>
      <c r="D1306" s="261"/>
      <c r="E1306" s="262">
        <v>1000000</v>
      </c>
      <c r="F1306" s="262">
        <v>0</v>
      </c>
      <c r="G1306" s="285">
        <f>Tabla3[[#This Row],[INGRESOS]]-Tabla3[[#This Row],[EGRESOS]]</f>
        <v>-1000000</v>
      </c>
      <c r="H1306" s="285">
        <v>107505034.51000001</v>
      </c>
      <c r="I1306" s="135">
        <v>1170</v>
      </c>
      <c r="J1306" s="136">
        <f>Tabla3[[#This Row],[EGRESOS]]/Tabla3[[#This Row],[TC]]</f>
        <v>854.70085470085473</v>
      </c>
      <c r="K1306" s="136">
        <f>Tabla3[[#This Row],[INGRESOS]]/Tabla3[[#This Row],[TC]]</f>
        <v>0</v>
      </c>
      <c r="L1306" s="8" t="s">
        <v>303</v>
      </c>
      <c r="M1306" s="8" t="s">
        <v>304</v>
      </c>
      <c r="N1306" s="8" t="s">
        <v>20</v>
      </c>
      <c r="O1306" s="8" t="s">
        <v>184</v>
      </c>
      <c r="P1306" s="8" t="s">
        <v>194</v>
      </c>
      <c r="Q1306" s="8" t="s">
        <v>196</v>
      </c>
      <c r="R1306" s="8" t="s">
        <v>226</v>
      </c>
      <c r="S1306" s="8" t="s">
        <v>311</v>
      </c>
      <c r="T1306" s="8"/>
      <c r="U1306" s="8" t="s">
        <v>277</v>
      </c>
      <c r="V1306" s="8" t="s">
        <v>311</v>
      </c>
      <c r="W1306" s="8" t="s">
        <v>306</v>
      </c>
      <c r="X1306" s="8" t="s">
        <v>103</v>
      </c>
      <c r="Y1306" s="8" t="s">
        <v>23</v>
      </c>
    </row>
    <row r="1307" spans="1:25" s="7" customFormat="1" hidden="1" x14ac:dyDescent="0.25">
      <c r="A1307" s="283" t="s">
        <v>726</v>
      </c>
      <c r="B1307" s="260">
        <v>45855</v>
      </c>
      <c r="C1307" s="261" t="s">
        <v>571</v>
      </c>
      <c r="D1307" s="261"/>
      <c r="E1307" s="262">
        <v>121</v>
      </c>
      <c r="F1307" s="262">
        <v>0</v>
      </c>
      <c r="G1307" s="285">
        <f>Tabla3[[#This Row],[INGRESOS]]-Tabla3[[#This Row],[EGRESOS]]</f>
        <v>-121</v>
      </c>
      <c r="H1307" s="285">
        <v>107504913.51000001</v>
      </c>
      <c r="I1307" s="135">
        <v>1170</v>
      </c>
      <c r="J1307" s="136">
        <f>Tabla3[[#This Row],[EGRESOS]]/Tabla3[[#This Row],[TC]]</f>
        <v>0.10341880341880341</v>
      </c>
      <c r="K1307" s="136">
        <f>Tabla3[[#This Row],[INGRESOS]]/Tabla3[[#This Row],[TC]]</f>
        <v>0</v>
      </c>
      <c r="L1307" s="8" t="s">
        <v>303</v>
      </c>
      <c r="M1307" s="8" t="s">
        <v>304</v>
      </c>
      <c r="N1307" s="8" t="s">
        <v>20</v>
      </c>
      <c r="O1307" s="8" t="s">
        <v>184</v>
      </c>
      <c r="P1307" s="8" t="s">
        <v>185</v>
      </c>
      <c r="Q1307" s="8" t="s">
        <v>186</v>
      </c>
      <c r="R1307" s="8"/>
      <c r="S1307" s="8"/>
      <c r="T1307" s="8"/>
      <c r="U1307" s="8" t="s">
        <v>261</v>
      </c>
      <c r="V1307" s="8"/>
      <c r="W1307" s="8" t="s">
        <v>306</v>
      </c>
      <c r="X1307" s="8" t="s">
        <v>98</v>
      </c>
      <c r="Y1307" s="8" t="s">
        <v>23</v>
      </c>
    </row>
    <row r="1308" spans="1:25" s="7" customFormat="1" hidden="1" x14ac:dyDescent="0.25">
      <c r="A1308" s="283" t="s">
        <v>726</v>
      </c>
      <c r="B1308" s="260">
        <v>45855</v>
      </c>
      <c r="C1308" s="261" t="s">
        <v>542</v>
      </c>
      <c r="D1308" s="261"/>
      <c r="E1308" s="262">
        <v>1000000</v>
      </c>
      <c r="F1308" s="262">
        <v>0</v>
      </c>
      <c r="G1308" s="285">
        <f>Tabla3[[#This Row],[INGRESOS]]-Tabla3[[#This Row],[EGRESOS]]</f>
        <v>-1000000</v>
      </c>
      <c r="H1308" s="285">
        <v>106504913.51000001</v>
      </c>
      <c r="I1308" s="135">
        <v>1170</v>
      </c>
      <c r="J1308" s="136">
        <f>Tabla3[[#This Row],[EGRESOS]]/Tabla3[[#This Row],[TC]]</f>
        <v>854.70085470085473</v>
      </c>
      <c r="K1308" s="136">
        <f>Tabla3[[#This Row],[INGRESOS]]/Tabla3[[#This Row],[TC]]</f>
        <v>0</v>
      </c>
      <c r="L1308" s="8" t="s">
        <v>303</v>
      </c>
      <c r="M1308" s="8" t="s">
        <v>304</v>
      </c>
      <c r="N1308" s="8" t="s">
        <v>20</v>
      </c>
      <c r="O1308" s="8" t="s">
        <v>184</v>
      </c>
      <c r="P1308" s="8" t="s">
        <v>194</v>
      </c>
      <c r="Q1308" s="8" t="s">
        <v>195</v>
      </c>
      <c r="R1308" s="8" t="s">
        <v>841</v>
      </c>
      <c r="S1308" s="8" t="s">
        <v>404</v>
      </c>
      <c r="T1308" s="8"/>
      <c r="U1308" s="8" t="s">
        <v>268</v>
      </c>
      <c r="V1308" s="8" t="s">
        <v>405</v>
      </c>
      <c r="W1308" s="8" t="s">
        <v>306</v>
      </c>
      <c r="X1308" s="8" t="s">
        <v>102</v>
      </c>
      <c r="Y1308" s="8" t="s">
        <v>23</v>
      </c>
    </row>
    <row r="1309" spans="1:25" s="7" customFormat="1" hidden="1" x14ac:dyDescent="0.25">
      <c r="A1309" s="283" t="s">
        <v>726</v>
      </c>
      <c r="B1309" s="260">
        <v>45855</v>
      </c>
      <c r="C1309" s="261" t="s">
        <v>571</v>
      </c>
      <c r="D1309" s="261"/>
      <c r="E1309" s="262">
        <v>121</v>
      </c>
      <c r="F1309" s="262">
        <v>0</v>
      </c>
      <c r="G1309" s="285">
        <f>Tabla3[[#This Row],[INGRESOS]]-Tabla3[[#This Row],[EGRESOS]]</f>
        <v>-121</v>
      </c>
      <c r="H1309" s="285">
        <v>106504792.51000001</v>
      </c>
      <c r="I1309" s="135">
        <v>1170</v>
      </c>
      <c r="J1309" s="136">
        <f>Tabla3[[#This Row],[EGRESOS]]/Tabla3[[#This Row],[TC]]</f>
        <v>0.10341880341880341</v>
      </c>
      <c r="K1309" s="136">
        <f>Tabla3[[#This Row],[INGRESOS]]/Tabla3[[#This Row],[TC]]</f>
        <v>0</v>
      </c>
      <c r="L1309" s="8" t="s">
        <v>303</v>
      </c>
      <c r="M1309" s="8" t="s">
        <v>304</v>
      </c>
      <c r="N1309" s="8" t="s">
        <v>20</v>
      </c>
      <c r="O1309" s="8" t="s">
        <v>184</v>
      </c>
      <c r="P1309" s="8" t="s">
        <v>185</v>
      </c>
      <c r="Q1309" s="8" t="s">
        <v>186</v>
      </c>
      <c r="R1309" s="8"/>
      <c r="S1309" s="8"/>
      <c r="T1309" s="8"/>
      <c r="U1309" s="8" t="s">
        <v>261</v>
      </c>
      <c r="V1309" s="8"/>
      <c r="W1309" s="8" t="s">
        <v>306</v>
      </c>
      <c r="X1309" s="8" t="s">
        <v>98</v>
      </c>
      <c r="Y1309" s="8" t="s">
        <v>23</v>
      </c>
    </row>
    <row r="1310" spans="1:25" s="7" customFormat="1" hidden="1" x14ac:dyDescent="0.25">
      <c r="A1310" s="283" t="s">
        <v>726</v>
      </c>
      <c r="B1310" s="260">
        <v>45855</v>
      </c>
      <c r="C1310" s="261" t="s">
        <v>987</v>
      </c>
      <c r="D1310" s="261"/>
      <c r="E1310" s="262">
        <v>1000000</v>
      </c>
      <c r="F1310" s="262">
        <v>0</v>
      </c>
      <c r="G1310" s="285">
        <f>Tabla3[[#This Row],[INGRESOS]]-Tabla3[[#This Row],[EGRESOS]]</f>
        <v>-1000000</v>
      </c>
      <c r="H1310" s="285">
        <v>105504792.51000001</v>
      </c>
      <c r="I1310" s="135">
        <v>1170</v>
      </c>
      <c r="J1310" s="136">
        <f>Tabla3[[#This Row],[EGRESOS]]/Tabla3[[#This Row],[TC]]</f>
        <v>854.70085470085473</v>
      </c>
      <c r="K1310" s="136">
        <f>Tabla3[[#This Row],[INGRESOS]]/Tabla3[[#This Row],[TC]]</f>
        <v>0</v>
      </c>
      <c r="L1310" s="8" t="s">
        <v>303</v>
      </c>
      <c r="M1310" s="8" t="s">
        <v>304</v>
      </c>
      <c r="N1310" s="8" t="s">
        <v>20</v>
      </c>
      <c r="O1310" s="8" t="s">
        <v>184</v>
      </c>
      <c r="P1310" s="8" t="s">
        <v>226</v>
      </c>
      <c r="Q1310" s="8" t="s">
        <v>1008</v>
      </c>
      <c r="R1310" s="8"/>
      <c r="S1310" s="8" t="s">
        <v>648</v>
      </c>
      <c r="T1310" s="8"/>
      <c r="U1310" s="8" t="s">
        <v>261</v>
      </c>
      <c r="V1310" s="8"/>
      <c r="W1310" s="8" t="s">
        <v>306</v>
      </c>
      <c r="X1310" s="8" t="s">
        <v>98</v>
      </c>
      <c r="Y1310" s="8" t="s">
        <v>23</v>
      </c>
    </row>
    <row r="1311" spans="1:25" s="7" customFormat="1" hidden="1" x14ac:dyDescent="0.25">
      <c r="A1311" s="283" t="s">
        <v>726</v>
      </c>
      <c r="B1311" s="260">
        <v>45855</v>
      </c>
      <c r="C1311" s="261" t="s">
        <v>1004</v>
      </c>
      <c r="D1311" s="261"/>
      <c r="E1311" s="262">
        <v>121</v>
      </c>
      <c r="F1311" s="262">
        <v>0</v>
      </c>
      <c r="G1311" s="285">
        <f>Tabla3[[#This Row],[INGRESOS]]-Tabla3[[#This Row],[EGRESOS]]</f>
        <v>-121</v>
      </c>
      <c r="H1311" s="285">
        <v>105504671.51000001</v>
      </c>
      <c r="I1311" s="135">
        <v>1170</v>
      </c>
      <c r="J1311" s="136">
        <f>Tabla3[[#This Row],[EGRESOS]]/Tabla3[[#This Row],[TC]]</f>
        <v>0.10341880341880341</v>
      </c>
      <c r="K1311" s="136">
        <f>Tabla3[[#This Row],[INGRESOS]]/Tabla3[[#This Row],[TC]]</f>
        <v>0</v>
      </c>
      <c r="L1311" s="8" t="s">
        <v>303</v>
      </c>
      <c r="M1311" s="8" t="s">
        <v>304</v>
      </c>
      <c r="N1311" s="8" t="s">
        <v>20</v>
      </c>
      <c r="O1311" s="8" t="s">
        <v>184</v>
      </c>
      <c r="P1311" s="8" t="s">
        <v>185</v>
      </c>
      <c r="Q1311" s="8" t="s">
        <v>186</v>
      </c>
      <c r="R1311" s="8"/>
      <c r="S1311" s="8"/>
      <c r="T1311" s="8"/>
      <c r="U1311" s="8" t="s">
        <v>261</v>
      </c>
      <c r="V1311" s="8"/>
      <c r="W1311" s="8" t="s">
        <v>306</v>
      </c>
      <c r="X1311" s="8" t="s">
        <v>98</v>
      </c>
      <c r="Y1311" s="8" t="s">
        <v>23</v>
      </c>
    </row>
    <row r="1312" spans="1:25" s="7" customFormat="1" hidden="1" x14ac:dyDescent="0.25">
      <c r="A1312" s="283" t="s">
        <v>726</v>
      </c>
      <c r="B1312" s="260">
        <v>45855</v>
      </c>
      <c r="C1312" s="261" t="s">
        <v>854</v>
      </c>
      <c r="D1312" s="261"/>
      <c r="E1312" s="262">
        <v>39491465.219999999</v>
      </c>
      <c r="F1312" s="262">
        <v>0</v>
      </c>
      <c r="G1312" s="285">
        <f>Tabla3[[#This Row],[INGRESOS]]-Tabla3[[#This Row],[EGRESOS]]</f>
        <v>-39491465.219999999</v>
      </c>
      <c r="H1312" s="285">
        <v>66013206.289999999</v>
      </c>
      <c r="I1312" s="135">
        <v>1170</v>
      </c>
      <c r="J1312" s="136">
        <f>Tabla3[[#This Row],[EGRESOS]]/Tabla3[[#This Row],[TC]]</f>
        <v>33753.389076923078</v>
      </c>
      <c r="K1312" s="136">
        <f>Tabla3[[#This Row],[INGRESOS]]/Tabla3[[#This Row],[TC]]</f>
        <v>0</v>
      </c>
      <c r="L1312" s="8" t="s">
        <v>303</v>
      </c>
      <c r="M1312" s="8" t="s">
        <v>304</v>
      </c>
      <c r="N1312" s="8" t="s">
        <v>20</v>
      </c>
      <c r="O1312" s="8" t="s">
        <v>214</v>
      </c>
      <c r="P1312" s="8" t="s">
        <v>38</v>
      </c>
      <c r="Q1312" s="8" t="s">
        <v>1005</v>
      </c>
      <c r="R1312" s="8" t="s">
        <v>1006</v>
      </c>
      <c r="S1312" s="8" t="s">
        <v>846</v>
      </c>
      <c r="T1312" s="8"/>
      <c r="U1312" s="8" t="s">
        <v>1007</v>
      </c>
      <c r="V1312" s="8"/>
      <c r="W1312" s="8" t="s">
        <v>306</v>
      </c>
      <c r="X1312" s="8" t="s">
        <v>36</v>
      </c>
      <c r="Y1312" s="8" t="s">
        <v>23</v>
      </c>
    </row>
    <row r="1313" spans="1:25" s="7" customFormat="1" hidden="1" x14ac:dyDescent="0.25">
      <c r="A1313" s="283" t="s">
        <v>726</v>
      </c>
      <c r="B1313" s="260">
        <v>45855</v>
      </c>
      <c r="C1313" s="261" t="s">
        <v>943</v>
      </c>
      <c r="D1313" s="261"/>
      <c r="E1313" s="262">
        <v>286296.02</v>
      </c>
      <c r="F1313" s="262">
        <v>0</v>
      </c>
      <c r="G1313" s="285">
        <f>Tabla3[[#This Row],[INGRESOS]]-Tabla3[[#This Row],[EGRESOS]]</f>
        <v>-286296.02</v>
      </c>
      <c r="H1313" s="285">
        <v>65726910.270000003</v>
      </c>
      <c r="I1313" s="135">
        <v>1170</v>
      </c>
      <c r="J1313" s="136">
        <f>Tabla3[[#This Row],[EGRESOS]]/Tabla3[[#This Row],[TC]]</f>
        <v>244.69745299145302</v>
      </c>
      <c r="K1313" s="136">
        <f>Tabla3[[#This Row],[INGRESOS]]/Tabla3[[#This Row],[TC]]</f>
        <v>0</v>
      </c>
      <c r="L1313" s="8" t="s">
        <v>303</v>
      </c>
      <c r="M1313" s="8" t="s">
        <v>304</v>
      </c>
      <c r="N1313" s="8" t="s">
        <v>20</v>
      </c>
      <c r="O1313" s="8" t="s">
        <v>184</v>
      </c>
      <c r="P1313" s="8" t="s">
        <v>187</v>
      </c>
      <c r="Q1313" s="8" t="s">
        <v>188</v>
      </c>
      <c r="R1313" s="8" t="s">
        <v>317</v>
      </c>
      <c r="S1313" s="8"/>
      <c r="T1313" s="8"/>
      <c r="U1313" s="8" t="s">
        <v>261</v>
      </c>
      <c r="V1313" s="8"/>
      <c r="W1313" s="8" t="s">
        <v>306</v>
      </c>
      <c r="X1313" s="8" t="s">
        <v>98</v>
      </c>
      <c r="Y1313" s="8" t="s">
        <v>23</v>
      </c>
    </row>
    <row r="1314" spans="1:25" s="7" customFormat="1" hidden="1" x14ac:dyDescent="0.25">
      <c r="A1314" s="283" t="s">
        <v>726</v>
      </c>
      <c r="B1314" s="260">
        <v>45856</v>
      </c>
      <c r="C1314" s="261" t="s">
        <v>542</v>
      </c>
      <c r="D1314" s="261"/>
      <c r="E1314" s="262">
        <v>2000000</v>
      </c>
      <c r="F1314" s="262">
        <v>0</v>
      </c>
      <c r="G1314" s="285">
        <f>Tabla3[[#This Row],[INGRESOS]]-Tabla3[[#This Row],[EGRESOS]]</f>
        <v>-2000000</v>
      </c>
      <c r="H1314" s="285">
        <v>63726910.270000003</v>
      </c>
      <c r="I1314" s="135">
        <v>1170</v>
      </c>
      <c r="J1314" s="136">
        <f>Tabla3[[#This Row],[EGRESOS]]/Tabla3[[#This Row],[TC]]</f>
        <v>1709.4017094017095</v>
      </c>
      <c r="K1314" s="136">
        <f>Tabla3[[#This Row],[INGRESOS]]/Tabla3[[#This Row],[TC]]</f>
        <v>0</v>
      </c>
      <c r="L1314" s="8" t="s">
        <v>303</v>
      </c>
      <c r="M1314" s="8" t="s">
        <v>304</v>
      </c>
      <c r="N1314" s="8" t="s">
        <v>20</v>
      </c>
      <c r="O1314" s="8" t="s">
        <v>184</v>
      </c>
      <c r="P1314" s="8" t="s">
        <v>237</v>
      </c>
      <c r="Q1314" s="8" t="s">
        <v>804</v>
      </c>
      <c r="R1314" s="8"/>
      <c r="S1314" s="8" t="s">
        <v>418</v>
      </c>
      <c r="T1314" s="8"/>
      <c r="U1314" s="8" t="s">
        <v>273</v>
      </c>
      <c r="V1314" s="8"/>
      <c r="W1314" s="8" t="s">
        <v>306</v>
      </c>
      <c r="X1314" s="8" t="s">
        <v>953</v>
      </c>
      <c r="Y1314" s="8" t="s">
        <v>23</v>
      </c>
    </row>
    <row r="1315" spans="1:25" s="7" customFormat="1" hidden="1" x14ac:dyDescent="0.25">
      <c r="A1315" s="283" t="s">
        <v>726</v>
      </c>
      <c r="B1315" s="260">
        <v>45856</v>
      </c>
      <c r="C1315" s="261" t="s">
        <v>571</v>
      </c>
      <c r="D1315" s="261"/>
      <c r="E1315" s="262">
        <v>121</v>
      </c>
      <c r="F1315" s="262">
        <v>0</v>
      </c>
      <c r="G1315" s="285">
        <f>Tabla3[[#This Row],[INGRESOS]]-Tabla3[[#This Row],[EGRESOS]]</f>
        <v>-121</v>
      </c>
      <c r="H1315" s="285">
        <v>63726789.270000003</v>
      </c>
      <c r="I1315" s="135">
        <v>1170</v>
      </c>
      <c r="J1315" s="136">
        <f>Tabla3[[#This Row],[EGRESOS]]/Tabla3[[#This Row],[TC]]</f>
        <v>0.10341880341880341</v>
      </c>
      <c r="K1315" s="136">
        <f>Tabla3[[#This Row],[INGRESOS]]/Tabla3[[#This Row],[TC]]</f>
        <v>0</v>
      </c>
      <c r="L1315" s="8" t="s">
        <v>303</v>
      </c>
      <c r="M1315" s="8" t="s">
        <v>304</v>
      </c>
      <c r="N1315" s="8" t="s">
        <v>20</v>
      </c>
      <c r="O1315" s="8" t="s">
        <v>184</v>
      </c>
      <c r="P1315" s="8" t="s">
        <v>185</v>
      </c>
      <c r="Q1315" s="8" t="s">
        <v>186</v>
      </c>
      <c r="R1315" s="8"/>
      <c r="S1315" s="8"/>
      <c r="T1315" s="8"/>
      <c r="U1315" s="8" t="s">
        <v>261</v>
      </c>
      <c r="V1315" s="8"/>
      <c r="W1315" s="8" t="s">
        <v>306</v>
      </c>
      <c r="X1315" s="8" t="s">
        <v>98</v>
      </c>
      <c r="Y1315" s="8" t="s">
        <v>23</v>
      </c>
    </row>
    <row r="1316" spans="1:25" s="7" customFormat="1" hidden="1" x14ac:dyDescent="0.25">
      <c r="A1316" s="283" t="s">
        <v>726</v>
      </c>
      <c r="B1316" s="260">
        <v>45856</v>
      </c>
      <c r="C1316" s="261" t="s">
        <v>943</v>
      </c>
      <c r="D1316" s="261"/>
      <c r="E1316" s="262">
        <v>12000.73</v>
      </c>
      <c r="F1316" s="262">
        <v>0</v>
      </c>
      <c r="G1316" s="285">
        <f>Tabla3[[#This Row],[INGRESOS]]-Tabla3[[#This Row],[EGRESOS]]</f>
        <v>-12000.73</v>
      </c>
      <c r="H1316" s="285">
        <v>63714788.539999999</v>
      </c>
      <c r="I1316" s="135">
        <v>1170</v>
      </c>
      <c r="J1316" s="136">
        <f>Tabla3[[#This Row],[EGRESOS]]/Tabla3[[#This Row],[TC]]</f>
        <v>10.257034188034188</v>
      </c>
      <c r="K1316" s="136">
        <f>Tabla3[[#This Row],[INGRESOS]]/Tabla3[[#This Row],[TC]]</f>
        <v>0</v>
      </c>
      <c r="L1316" s="8" t="s">
        <v>303</v>
      </c>
      <c r="M1316" s="8" t="s">
        <v>304</v>
      </c>
      <c r="N1316" s="8" t="s">
        <v>20</v>
      </c>
      <c r="O1316" s="8" t="s">
        <v>184</v>
      </c>
      <c r="P1316" s="8" t="s">
        <v>187</v>
      </c>
      <c r="Q1316" s="8" t="s">
        <v>188</v>
      </c>
      <c r="R1316" s="8" t="s">
        <v>317</v>
      </c>
      <c r="S1316" s="8"/>
      <c r="T1316" s="8"/>
      <c r="U1316" s="8" t="s">
        <v>261</v>
      </c>
      <c r="V1316" s="8"/>
      <c r="W1316" s="8" t="s">
        <v>306</v>
      </c>
      <c r="X1316" s="8" t="s">
        <v>98</v>
      </c>
      <c r="Y1316" s="8" t="s">
        <v>23</v>
      </c>
    </row>
    <row r="1317" spans="1:25" s="7" customFormat="1" hidden="1" x14ac:dyDescent="0.25">
      <c r="A1317" s="283" t="s">
        <v>726</v>
      </c>
      <c r="B1317" s="260">
        <v>45856</v>
      </c>
      <c r="C1317" s="261" t="s">
        <v>537</v>
      </c>
      <c r="D1317" s="261"/>
      <c r="E1317" s="262">
        <v>1296573.06</v>
      </c>
      <c r="F1317" s="262">
        <v>0</v>
      </c>
      <c r="G1317" s="285">
        <f>Tabla3[[#This Row],[INGRESOS]]-Tabla3[[#This Row],[EGRESOS]]</f>
        <v>-1296573.06</v>
      </c>
      <c r="H1317" s="285">
        <v>62418215.479999997</v>
      </c>
      <c r="I1317" s="135">
        <v>1170</v>
      </c>
      <c r="J1317" s="136">
        <f>Tabla3[[#This Row],[EGRESOS]]/Tabla3[[#This Row],[TC]]</f>
        <v>1108.1821025641027</v>
      </c>
      <c r="K1317" s="136">
        <f>Tabla3[[#This Row],[INGRESOS]]/Tabla3[[#This Row],[TC]]</f>
        <v>0</v>
      </c>
      <c r="L1317" s="8" t="s">
        <v>303</v>
      </c>
      <c r="M1317" s="8" t="s">
        <v>304</v>
      </c>
      <c r="N1317" s="8" t="s">
        <v>20</v>
      </c>
      <c r="O1317" s="8" t="s">
        <v>214</v>
      </c>
      <c r="P1317" s="8" t="s">
        <v>216</v>
      </c>
      <c r="Q1317" s="8" t="s">
        <v>217</v>
      </c>
      <c r="R1317" s="8" t="s">
        <v>388</v>
      </c>
      <c r="S1317" s="8"/>
      <c r="T1317" s="8"/>
      <c r="U1317" s="8" t="s">
        <v>262</v>
      </c>
      <c r="V1317" s="8"/>
      <c r="W1317" s="8" t="s">
        <v>306</v>
      </c>
      <c r="X1317" s="8"/>
      <c r="Y1317" s="8"/>
    </row>
    <row r="1318" spans="1:25" s="7" customFormat="1" hidden="1" x14ac:dyDescent="0.25">
      <c r="A1318" s="283" t="s">
        <v>726</v>
      </c>
      <c r="B1318" s="260">
        <v>45859</v>
      </c>
      <c r="C1318" s="261" t="s">
        <v>566</v>
      </c>
      <c r="D1318" s="261"/>
      <c r="E1318" s="262">
        <v>8067</v>
      </c>
      <c r="F1318" s="262">
        <v>0</v>
      </c>
      <c r="G1318" s="285">
        <f>Tabla3[[#This Row],[INGRESOS]]-Tabla3[[#This Row],[EGRESOS]]</f>
        <v>-8067</v>
      </c>
      <c r="H1318" s="285">
        <v>62410148.479999997</v>
      </c>
      <c r="I1318" s="135">
        <v>1170</v>
      </c>
      <c r="J1318" s="136">
        <f>Tabla3[[#This Row],[EGRESOS]]/Tabla3[[#This Row],[TC]]</f>
        <v>6.8948717948717952</v>
      </c>
      <c r="K1318" s="136">
        <f>Tabla3[[#This Row],[INGRESOS]]/Tabla3[[#This Row],[TC]]</f>
        <v>0</v>
      </c>
      <c r="L1318" s="8" t="s">
        <v>303</v>
      </c>
      <c r="M1318" s="8" t="s">
        <v>304</v>
      </c>
      <c r="N1318" s="8" t="s">
        <v>20</v>
      </c>
      <c r="O1318" s="8" t="s">
        <v>184</v>
      </c>
      <c r="P1318" s="8" t="s">
        <v>185</v>
      </c>
      <c r="Q1318" s="8" t="s">
        <v>227</v>
      </c>
      <c r="R1318" s="8"/>
      <c r="S1318" s="8"/>
      <c r="T1318" s="8"/>
      <c r="U1318" s="8" t="s">
        <v>261</v>
      </c>
      <c r="V1318" s="8"/>
      <c r="W1318" s="8" t="s">
        <v>306</v>
      </c>
      <c r="X1318" s="8" t="s">
        <v>98</v>
      </c>
      <c r="Y1318" s="8" t="s">
        <v>23</v>
      </c>
    </row>
    <row r="1319" spans="1:25" s="7" customFormat="1" hidden="1" x14ac:dyDescent="0.25">
      <c r="A1319" s="283" t="s">
        <v>726</v>
      </c>
      <c r="B1319" s="260">
        <v>45859</v>
      </c>
      <c r="C1319" s="261" t="s">
        <v>943</v>
      </c>
      <c r="D1319" s="261"/>
      <c r="E1319" s="262">
        <v>48.4</v>
      </c>
      <c r="F1319" s="262">
        <v>0</v>
      </c>
      <c r="G1319" s="285">
        <f>Tabla3[[#This Row],[INGRESOS]]-Tabla3[[#This Row],[EGRESOS]]</f>
        <v>-48.4</v>
      </c>
      <c r="H1319" s="285">
        <v>62410100.079999998</v>
      </c>
      <c r="I1319" s="135">
        <v>1170</v>
      </c>
      <c r="J1319" s="136">
        <f>Tabla3[[#This Row],[EGRESOS]]/Tabla3[[#This Row],[TC]]</f>
        <v>4.1367521367521365E-2</v>
      </c>
      <c r="K1319" s="136">
        <f>Tabla3[[#This Row],[INGRESOS]]/Tabla3[[#This Row],[TC]]</f>
        <v>0</v>
      </c>
      <c r="L1319" s="8" t="s">
        <v>303</v>
      </c>
      <c r="M1319" s="8" t="s">
        <v>304</v>
      </c>
      <c r="N1319" s="8" t="s">
        <v>20</v>
      </c>
      <c r="O1319" s="8" t="s">
        <v>184</v>
      </c>
      <c r="P1319" s="8" t="s">
        <v>187</v>
      </c>
      <c r="Q1319" s="8" t="s">
        <v>188</v>
      </c>
      <c r="R1319" s="8" t="s">
        <v>317</v>
      </c>
      <c r="S1319" s="8"/>
      <c r="T1319" s="8"/>
      <c r="U1319" s="8" t="s">
        <v>261</v>
      </c>
      <c r="V1319" s="8"/>
      <c r="W1319" s="8" t="s">
        <v>306</v>
      </c>
      <c r="X1319" s="8" t="s">
        <v>98</v>
      </c>
      <c r="Y1319" s="8" t="s">
        <v>23</v>
      </c>
    </row>
    <row r="1320" spans="1:25" s="7" customFormat="1" hidden="1" x14ac:dyDescent="0.25">
      <c r="A1320" s="283" t="s">
        <v>726</v>
      </c>
      <c r="B1320" s="260">
        <v>45860</v>
      </c>
      <c r="C1320" s="261" t="s">
        <v>521</v>
      </c>
      <c r="D1320" s="261" t="s">
        <v>1013</v>
      </c>
      <c r="E1320" s="262">
        <v>357951.31</v>
      </c>
      <c r="F1320" s="262">
        <v>0</v>
      </c>
      <c r="G1320" s="285">
        <f>Tabla3[[#This Row],[INGRESOS]]-Tabla3[[#This Row],[EGRESOS]]</f>
        <v>-357951.31</v>
      </c>
      <c r="H1320" s="285">
        <v>62052148.770000003</v>
      </c>
      <c r="I1320" s="135">
        <v>1170</v>
      </c>
      <c r="J1320" s="136">
        <f>Tabla3[[#This Row],[EGRESOS]]/Tabla3[[#This Row],[TC]]</f>
        <v>305.94129059829061</v>
      </c>
      <c r="K1320" s="136">
        <f>Tabla3[[#This Row],[INGRESOS]]/Tabla3[[#This Row],[TC]]</f>
        <v>0</v>
      </c>
      <c r="L1320" s="8" t="s">
        <v>303</v>
      </c>
      <c r="M1320" s="8" t="s">
        <v>304</v>
      </c>
      <c r="N1320" s="8" t="s">
        <v>20</v>
      </c>
      <c r="O1320" s="8" t="s">
        <v>204</v>
      </c>
      <c r="P1320" s="8" t="s">
        <v>205</v>
      </c>
      <c r="Q1320" s="8"/>
      <c r="R1320" s="8" t="s">
        <v>897</v>
      </c>
      <c r="S1320" s="8" t="s">
        <v>1016</v>
      </c>
      <c r="T1320" s="8" t="s">
        <v>1017</v>
      </c>
      <c r="U1320" s="8" t="s">
        <v>258</v>
      </c>
      <c r="V1320" s="8"/>
      <c r="W1320" s="8" t="s">
        <v>306</v>
      </c>
      <c r="X1320" s="8" t="s">
        <v>29</v>
      </c>
      <c r="Y1320" s="8" t="s">
        <v>23</v>
      </c>
    </row>
    <row r="1321" spans="1:25" s="7" customFormat="1" x14ac:dyDescent="0.25">
      <c r="A1321" s="283" t="s">
        <v>726</v>
      </c>
      <c r="B1321" s="260">
        <v>45860</v>
      </c>
      <c r="C1321" s="261" t="s">
        <v>521</v>
      </c>
      <c r="D1321" s="261" t="s">
        <v>1012</v>
      </c>
      <c r="E1321" s="262">
        <v>2600000</v>
      </c>
      <c r="F1321" s="262">
        <v>0</v>
      </c>
      <c r="G1321" s="285">
        <f>Tabla3[[#This Row],[INGRESOS]]-Tabla3[[#This Row],[EGRESOS]]</f>
        <v>-2600000</v>
      </c>
      <c r="H1321" s="285">
        <v>59452148.770000003</v>
      </c>
      <c r="I1321" s="135">
        <v>1170</v>
      </c>
      <c r="J1321" s="136">
        <f>Tabla3[[#This Row],[EGRESOS]]/Tabla3[[#This Row],[TC]]</f>
        <v>2222.2222222222222</v>
      </c>
      <c r="K1321" s="136">
        <f>Tabla3[[#This Row],[INGRESOS]]/Tabla3[[#This Row],[TC]]</f>
        <v>0</v>
      </c>
      <c r="L1321" s="8" t="s">
        <v>303</v>
      </c>
      <c r="M1321" s="8" t="s">
        <v>304</v>
      </c>
      <c r="N1321" s="8" t="s">
        <v>20</v>
      </c>
      <c r="O1321" s="8" t="s">
        <v>742</v>
      </c>
      <c r="P1321" s="8" t="s">
        <v>220</v>
      </c>
      <c r="Q1321" s="8" t="s">
        <v>736</v>
      </c>
      <c r="R1321" s="8"/>
      <c r="S1321" s="8" t="s">
        <v>1014</v>
      </c>
      <c r="T1321" s="8" t="s">
        <v>1015</v>
      </c>
      <c r="U1321" s="8" t="s">
        <v>258</v>
      </c>
      <c r="V1321" s="8"/>
      <c r="W1321" s="8" t="s">
        <v>306</v>
      </c>
      <c r="X1321" s="8" t="s">
        <v>29</v>
      </c>
      <c r="Y1321" s="8" t="s">
        <v>23</v>
      </c>
    </row>
    <row r="1322" spans="1:25" s="7" customFormat="1" x14ac:dyDescent="0.25">
      <c r="A1322" s="283" t="s">
        <v>726</v>
      </c>
      <c r="B1322" s="260">
        <v>45860</v>
      </c>
      <c r="C1322" s="261" t="s">
        <v>521</v>
      </c>
      <c r="D1322" s="261" t="s">
        <v>1011</v>
      </c>
      <c r="E1322" s="262">
        <v>685009</v>
      </c>
      <c r="F1322" s="262">
        <v>0</v>
      </c>
      <c r="G1322" s="285">
        <f>Tabla3[[#This Row],[INGRESOS]]-Tabla3[[#This Row],[EGRESOS]]</f>
        <v>-685009</v>
      </c>
      <c r="H1322" s="285">
        <v>58767139.770000003</v>
      </c>
      <c r="I1322" s="135">
        <v>1170</v>
      </c>
      <c r="J1322" s="136">
        <f>Tabla3[[#This Row],[EGRESOS]]/Tabla3[[#This Row],[TC]]</f>
        <v>585.47777777777776</v>
      </c>
      <c r="K1322" s="136">
        <f>Tabla3[[#This Row],[INGRESOS]]/Tabla3[[#This Row],[TC]]</f>
        <v>0</v>
      </c>
      <c r="L1322" s="8" t="s">
        <v>303</v>
      </c>
      <c r="M1322" s="8" t="s">
        <v>304</v>
      </c>
      <c r="N1322" s="8" t="s">
        <v>20</v>
      </c>
      <c r="O1322" s="8" t="s">
        <v>742</v>
      </c>
      <c r="P1322" s="8" t="s">
        <v>220</v>
      </c>
      <c r="Q1322" s="8" t="s">
        <v>736</v>
      </c>
      <c r="R1322" s="8"/>
      <c r="S1322" s="8" t="s">
        <v>876</v>
      </c>
      <c r="T1322" s="8"/>
      <c r="U1322" s="8" t="s">
        <v>258</v>
      </c>
      <c r="V1322" s="8"/>
      <c r="W1322" s="8" t="s">
        <v>306</v>
      </c>
      <c r="X1322" s="8" t="s">
        <v>29</v>
      </c>
      <c r="Y1322" s="8" t="s">
        <v>23</v>
      </c>
    </row>
    <row r="1323" spans="1:25" s="7" customFormat="1" hidden="1" x14ac:dyDescent="0.25">
      <c r="A1323" s="283" t="s">
        <v>726</v>
      </c>
      <c r="B1323" s="260">
        <v>45860</v>
      </c>
      <c r="C1323" s="261" t="s">
        <v>542</v>
      </c>
      <c r="D1323" s="261"/>
      <c r="E1323" s="262">
        <v>25002223.5</v>
      </c>
      <c r="F1323" s="262">
        <v>0</v>
      </c>
      <c r="G1323" s="285">
        <f>Tabla3[[#This Row],[INGRESOS]]-Tabla3[[#This Row],[EGRESOS]]</f>
        <v>-25002223.5</v>
      </c>
      <c r="H1323" s="285">
        <v>33764916.270000003</v>
      </c>
      <c r="I1323" s="135">
        <v>1170</v>
      </c>
      <c r="J1323" s="136">
        <f>Tabla3[[#This Row],[EGRESOS]]/Tabla3[[#This Row],[TC]]</f>
        <v>21369.421794871796</v>
      </c>
      <c r="K1323" s="136">
        <f>Tabla3[[#This Row],[INGRESOS]]/Tabla3[[#This Row],[TC]]</f>
        <v>0</v>
      </c>
      <c r="L1323" s="8" t="s">
        <v>303</v>
      </c>
      <c r="M1323" s="8" t="s">
        <v>304</v>
      </c>
      <c r="N1323" s="8" t="s">
        <v>20</v>
      </c>
      <c r="O1323" s="8" t="s">
        <v>742</v>
      </c>
      <c r="P1323" s="8" t="s">
        <v>1070</v>
      </c>
      <c r="Q1323" s="8" t="s">
        <v>1019</v>
      </c>
      <c r="S1323" s="8" t="s">
        <v>966</v>
      </c>
      <c r="T1323" s="8"/>
      <c r="U1323" s="8" t="s">
        <v>929</v>
      </c>
      <c r="V1323" s="8"/>
      <c r="W1323" s="8" t="s">
        <v>306</v>
      </c>
      <c r="X1323" s="8" t="s">
        <v>98</v>
      </c>
      <c r="Y1323" s="8" t="s">
        <v>23</v>
      </c>
    </row>
    <row r="1324" spans="1:25" s="7" customFormat="1" hidden="1" x14ac:dyDescent="0.25">
      <c r="A1324" s="283" t="s">
        <v>726</v>
      </c>
      <c r="B1324" s="260">
        <v>45860</v>
      </c>
      <c r="C1324" s="261" t="s">
        <v>571</v>
      </c>
      <c r="D1324" s="261"/>
      <c r="E1324" s="262">
        <v>121</v>
      </c>
      <c r="F1324" s="262">
        <v>0</v>
      </c>
      <c r="G1324" s="285">
        <f>Tabla3[[#This Row],[INGRESOS]]-Tabla3[[#This Row],[EGRESOS]]</f>
        <v>-121</v>
      </c>
      <c r="H1324" s="285">
        <v>33764795.270000003</v>
      </c>
      <c r="I1324" s="135">
        <v>1170</v>
      </c>
      <c r="J1324" s="136">
        <f>Tabla3[[#This Row],[EGRESOS]]/Tabla3[[#This Row],[TC]]</f>
        <v>0.10341880341880341</v>
      </c>
      <c r="K1324" s="136">
        <f>Tabla3[[#This Row],[INGRESOS]]/Tabla3[[#This Row],[TC]]</f>
        <v>0</v>
      </c>
      <c r="L1324" s="8" t="s">
        <v>303</v>
      </c>
      <c r="M1324" s="8" t="s">
        <v>304</v>
      </c>
      <c r="N1324" s="8" t="s">
        <v>20</v>
      </c>
      <c r="O1324" s="8" t="s">
        <v>184</v>
      </c>
      <c r="P1324" s="8" t="s">
        <v>185</v>
      </c>
      <c r="Q1324" s="8" t="s">
        <v>186</v>
      </c>
      <c r="R1324" s="8"/>
      <c r="S1324" s="8"/>
      <c r="T1324" s="8"/>
      <c r="U1324" s="8" t="s">
        <v>261</v>
      </c>
      <c r="V1324" s="8"/>
      <c r="W1324" s="8" t="s">
        <v>306</v>
      </c>
      <c r="X1324" s="8" t="s">
        <v>98</v>
      </c>
      <c r="Y1324" s="8" t="s">
        <v>23</v>
      </c>
    </row>
    <row r="1325" spans="1:25" s="7" customFormat="1" hidden="1" x14ac:dyDescent="0.25">
      <c r="A1325" s="283" t="s">
        <v>726</v>
      </c>
      <c r="B1325" s="260">
        <v>45860</v>
      </c>
      <c r="C1325" s="261" t="s">
        <v>542</v>
      </c>
      <c r="D1325" s="261"/>
      <c r="E1325" s="262">
        <v>140000</v>
      </c>
      <c r="F1325" s="262">
        <v>0</v>
      </c>
      <c r="G1325" s="285">
        <f>Tabla3[[#This Row],[INGRESOS]]-Tabla3[[#This Row],[EGRESOS]]</f>
        <v>-140000</v>
      </c>
      <c r="H1325" s="285">
        <v>33624795.270000003</v>
      </c>
      <c r="I1325" s="135">
        <v>1170</v>
      </c>
      <c r="J1325" s="136">
        <f>Tabla3[[#This Row],[EGRESOS]]/Tabla3[[#This Row],[TC]]</f>
        <v>119.65811965811966</v>
      </c>
      <c r="K1325" s="136">
        <f>Tabla3[[#This Row],[INGRESOS]]/Tabla3[[#This Row],[TC]]</f>
        <v>0</v>
      </c>
      <c r="L1325" s="8" t="s">
        <v>303</v>
      </c>
      <c r="M1325" s="8" t="s">
        <v>304</v>
      </c>
      <c r="N1325" s="8" t="s">
        <v>20</v>
      </c>
      <c r="O1325" s="8" t="s">
        <v>197</v>
      </c>
      <c r="P1325" s="8" t="s">
        <v>198</v>
      </c>
      <c r="Q1325" s="8" t="s">
        <v>201</v>
      </c>
      <c r="R1325" s="8" t="s">
        <v>736</v>
      </c>
      <c r="S1325" s="8" t="s">
        <v>526</v>
      </c>
      <c r="T1325" s="8"/>
      <c r="U1325" s="8" t="s">
        <v>260</v>
      </c>
      <c r="V1325" s="8"/>
      <c r="W1325" s="8" t="s">
        <v>306</v>
      </c>
      <c r="X1325" s="8" t="s">
        <v>29</v>
      </c>
      <c r="Y1325" s="8" t="s">
        <v>23</v>
      </c>
    </row>
    <row r="1326" spans="1:25" s="7" customFormat="1" hidden="1" x14ac:dyDescent="0.25">
      <c r="A1326" s="283" t="s">
        <v>726</v>
      </c>
      <c r="B1326" s="260">
        <v>45860</v>
      </c>
      <c r="C1326" s="261" t="s">
        <v>943</v>
      </c>
      <c r="D1326" s="261"/>
      <c r="E1326" s="262">
        <v>172711.83</v>
      </c>
      <c r="F1326" s="262">
        <v>0</v>
      </c>
      <c r="G1326" s="285">
        <f>Tabla3[[#This Row],[INGRESOS]]-Tabla3[[#This Row],[EGRESOS]]</f>
        <v>-172711.83</v>
      </c>
      <c r="H1326" s="285">
        <v>33452083.440000001</v>
      </c>
      <c r="I1326" s="135">
        <v>1170</v>
      </c>
      <c r="J1326" s="136">
        <f>Tabla3[[#This Row],[EGRESOS]]/Tabla3[[#This Row],[TC]]</f>
        <v>147.6169487179487</v>
      </c>
      <c r="K1326" s="136">
        <f>Tabla3[[#This Row],[INGRESOS]]/Tabla3[[#This Row],[TC]]</f>
        <v>0</v>
      </c>
      <c r="L1326" s="8" t="s">
        <v>303</v>
      </c>
      <c r="M1326" s="8" t="s">
        <v>304</v>
      </c>
      <c r="N1326" s="8" t="s">
        <v>20</v>
      </c>
      <c r="O1326" s="8" t="s">
        <v>184</v>
      </c>
      <c r="P1326" s="8" t="s">
        <v>187</v>
      </c>
      <c r="Q1326" s="8" t="s">
        <v>188</v>
      </c>
      <c r="R1326" s="8" t="s">
        <v>317</v>
      </c>
      <c r="S1326" s="8"/>
      <c r="T1326" s="8"/>
      <c r="U1326" s="8" t="s">
        <v>261</v>
      </c>
      <c r="V1326" s="8"/>
      <c r="W1326" s="8" t="s">
        <v>306</v>
      </c>
      <c r="X1326" s="8" t="s">
        <v>98</v>
      </c>
      <c r="Y1326" s="8" t="s">
        <v>23</v>
      </c>
    </row>
    <row r="1327" spans="1:25" s="7" customFormat="1" hidden="1" x14ac:dyDescent="0.25">
      <c r="A1327" s="283" t="s">
        <v>726</v>
      </c>
      <c r="B1327" s="260">
        <v>45861</v>
      </c>
      <c r="C1327" s="261" t="s">
        <v>521</v>
      </c>
      <c r="D1327" s="261" t="s">
        <v>1018</v>
      </c>
      <c r="E1327" s="262">
        <v>8401937.5</v>
      </c>
      <c r="F1327" s="262">
        <v>0</v>
      </c>
      <c r="G1327" s="285">
        <f>Tabla3[[#This Row],[INGRESOS]]-Tabla3[[#This Row],[EGRESOS]]</f>
        <v>-8401937.5</v>
      </c>
      <c r="H1327" s="285">
        <v>25050145.940000001</v>
      </c>
      <c r="I1327" s="135">
        <v>1170</v>
      </c>
      <c r="J1327" s="136">
        <f>Tabla3[[#This Row],[EGRESOS]]/Tabla3[[#This Row],[TC]]</f>
        <v>7181.1431623931621</v>
      </c>
      <c r="K1327" s="136">
        <f>Tabla3[[#This Row],[INGRESOS]]/Tabla3[[#This Row],[TC]]</f>
        <v>0</v>
      </c>
      <c r="L1327" s="8" t="s">
        <v>303</v>
      </c>
      <c r="M1327" s="8" t="s">
        <v>304</v>
      </c>
      <c r="N1327" s="8" t="s">
        <v>20</v>
      </c>
      <c r="O1327" s="8" t="s">
        <v>197</v>
      </c>
      <c r="P1327" s="8" t="s">
        <v>198</v>
      </c>
      <c r="Q1327" s="8" t="s">
        <v>200</v>
      </c>
      <c r="R1327" s="8" t="s">
        <v>911</v>
      </c>
      <c r="S1327" s="8" t="s">
        <v>910</v>
      </c>
      <c r="T1327" s="8" t="s">
        <v>912</v>
      </c>
      <c r="U1327" s="8" t="s">
        <v>258</v>
      </c>
      <c r="V1327" s="8"/>
      <c r="W1327" s="8" t="s">
        <v>306</v>
      </c>
      <c r="X1327" s="8" t="s">
        <v>29</v>
      </c>
      <c r="Y1327" s="8" t="s">
        <v>23</v>
      </c>
    </row>
    <row r="1328" spans="1:25" s="7" customFormat="1" hidden="1" x14ac:dyDescent="0.25">
      <c r="A1328" s="283" t="s">
        <v>726</v>
      </c>
      <c r="B1328" s="260">
        <v>45861</v>
      </c>
      <c r="C1328" s="261" t="s">
        <v>323</v>
      </c>
      <c r="D1328" s="261"/>
      <c r="E1328" s="262">
        <v>4100000</v>
      </c>
      <c r="F1328" s="262">
        <v>0</v>
      </c>
      <c r="G1328" s="285">
        <f>Tabla3[[#This Row],[INGRESOS]]-Tabla3[[#This Row],[EGRESOS]]</f>
        <v>-4100000</v>
      </c>
      <c r="H1328" s="285">
        <v>20950145.940000001</v>
      </c>
      <c r="I1328" s="135">
        <v>1170</v>
      </c>
      <c r="J1328" s="136">
        <f>Tabla3[[#This Row],[EGRESOS]]/Tabla3[[#This Row],[TC]]</f>
        <v>3504.2735042735044</v>
      </c>
      <c r="K1328" s="136">
        <f>Tabla3[[#This Row],[INGRESOS]]/Tabla3[[#This Row],[TC]]</f>
        <v>0</v>
      </c>
      <c r="L1328" s="8" t="s">
        <v>303</v>
      </c>
      <c r="M1328" s="8" t="s">
        <v>304</v>
      </c>
      <c r="N1328" s="8" t="s">
        <v>20</v>
      </c>
      <c r="O1328" s="8" t="s">
        <v>214</v>
      </c>
      <c r="P1328" s="8" t="s">
        <v>216</v>
      </c>
      <c r="Q1328" s="8" t="s">
        <v>217</v>
      </c>
      <c r="R1328" s="8" t="s">
        <v>686</v>
      </c>
      <c r="S1328" s="8"/>
      <c r="T1328" s="8"/>
      <c r="U1328" s="8" t="s">
        <v>262</v>
      </c>
      <c r="V1328" s="8"/>
      <c r="W1328" s="8" t="s">
        <v>306</v>
      </c>
      <c r="X1328" s="8"/>
      <c r="Y1328" s="8"/>
    </row>
    <row r="1329" spans="1:25" s="7" customFormat="1" hidden="1" x14ac:dyDescent="0.25">
      <c r="A1329" s="283" t="s">
        <v>726</v>
      </c>
      <c r="B1329" s="260">
        <v>45861</v>
      </c>
      <c r="C1329" s="261" t="s">
        <v>571</v>
      </c>
      <c r="D1329" s="261"/>
      <c r="E1329" s="262">
        <v>121</v>
      </c>
      <c r="F1329" s="262">
        <v>0</v>
      </c>
      <c r="G1329" s="285">
        <f>Tabla3[[#This Row],[INGRESOS]]-Tabla3[[#This Row],[EGRESOS]]</f>
        <v>-121</v>
      </c>
      <c r="H1329" s="285">
        <v>20950024.940000001</v>
      </c>
      <c r="I1329" s="135">
        <v>1170</v>
      </c>
      <c r="J1329" s="136">
        <f>Tabla3[[#This Row],[EGRESOS]]/Tabla3[[#This Row],[TC]]</f>
        <v>0.10341880341880341</v>
      </c>
      <c r="K1329" s="136">
        <f>Tabla3[[#This Row],[INGRESOS]]/Tabla3[[#This Row],[TC]]</f>
        <v>0</v>
      </c>
      <c r="L1329" s="8" t="s">
        <v>303</v>
      </c>
      <c r="M1329" s="8" t="s">
        <v>304</v>
      </c>
      <c r="N1329" s="8" t="s">
        <v>20</v>
      </c>
      <c r="O1329" s="8" t="s">
        <v>184</v>
      </c>
      <c r="P1329" s="8" t="s">
        <v>185</v>
      </c>
      <c r="Q1329" s="8" t="s">
        <v>186</v>
      </c>
      <c r="R1329" s="8"/>
      <c r="S1329" s="8"/>
      <c r="T1329" s="8"/>
      <c r="U1329" s="8" t="s">
        <v>261</v>
      </c>
      <c r="V1329" s="8"/>
      <c r="W1329" s="8" t="s">
        <v>306</v>
      </c>
      <c r="X1329" s="8" t="s">
        <v>98</v>
      </c>
      <c r="Y1329" s="8" t="s">
        <v>23</v>
      </c>
    </row>
    <row r="1330" spans="1:25" s="7" customFormat="1" hidden="1" x14ac:dyDescent="0.25">
      <c r="A1330" s="283" t="s">
        <v>726</v>
      </c>
      <c r="B1330" s="260">
        <v>45861</v>
      </c>
      <c r="C1330" s="261" t="s">
        <v>542</v>
      </c>
      <c r="D1330" s="261"/>
      <c r="E1330" s="262">
        <v>650000</v>
      </c>
      <c r="F1330" s="262">
        <v>0</v>
      </c>
      <c r="G1330" s="285">
        <f>Tabla3[[#This Row],[INGRESOS]]-Tabla3[[#This Row],[EGRESOS]]</f>
        <v>-650000</v>
      </c>
      <c r="H1330" s="285">
        <v>20300024.940000001</v>
      </c>
      <c r="I1330" s="135">
        <v>1170</v>
      </c>
      <c r="J1330" s="136">
        <f>Tabla3[[#This Row],[EGRESOS]]/Tabla3[[#This Row],[TC]]</f>
        <v>555.55555555555554</v>
      </c>
      <c r="K1330" s="136">
        <f>Tabla3[[#This Row],[INGRESOS]]/Tabla3[[#This Row],[TC]]</f>
        <v>0</v>
      </c>
      <c r="L1330" s="8" t="s">
        <v>303</v>
      </c>
      <c r="M1330" s="8" t="s">
        <v>304</v>
      </c>
      <c r="N1330" s="8" t="s">
        <v>20</v>
      </c>
      <c r="O1330" s="8" t="s">
        <v>184</v>
      </c>
      <c r="P1330" s="8" t="s">
        <v>194</v>
      </c>
      <c r="Q1330" s="8" t="s">
        <v>196</v>
      </c>
      <c r="R1330" s="8" t="s">
        <v>975</v>
      </c>
      <c r="S1330" s="8" t="s">
        <v>331</v>
      </c>
      <c r="T1330" s="8"/>
      <c r="U1330" s="8" t="s">
        <v>267</v>
      </c>
      <c r="V1330" s="8" t="s">
        <v>332</v>
      </c>
      <c r="W1330" s="8" t="s">
        <v>306</v>
      </c>
      <c r="X1330" s="8" t="s">
        <v>101</v>
      </c>
      <c r="Y1330" s="8" t="s">
        <v>23</v>
      </c>
    </row>
    <row r="1331" spans="1:25" s="7" customFormat="1" hidden="1" x14ac:dyDescent="0.25">
      <c r="A1331" s="283" t="s">
        <v>726</v>
      </c>
      <c r="B1331" s="260">
        <v>45861</v>
      </c>
      <c r="C1331" s="261" t="s">
        <v>571</v>
      </c>
      <c r="D1331" s="261"/>
      <c r="E1331" s="262">
        <v>121</v>
      </c>
      <c r="F1331" s="262">
        <v>0</v>
      </c>
      <c r="G1331" s="285">
        <f>Tabla3[[#This Row],[INGRESOS]]-Tabla3[[#This Row],[EGRESOS]]</f>
        <v>-121</v>
      </c>
      <c r="H1331" s="285">
        <v>20299903.940000001</v>
      </c>
      <c r="I1331" s="135">
        <v>1170</v>
      </c>
      <c r="J1331" s="136">
        <f>Tabla3[[#This Row],[EGRESOS]]/Tabla3[[#This Row],[TC]]</f>
        <v>0.10341880341880341</v>
      </c>
      <c r="K1331" s="136">
        <f>Tabla3[[#This Row],[INGRESOS]]/Tabla3[[#This Row],[TC]]</f>
        <v>0</v>
      </c>
      <c r="L1331" s="8" t="s">
        <v>303</v>
      </c>
      <c r="M1331" s="8" t="s">
        <v>304</v>
      </c>
      <c r="N1331" s="8" t="s">
        <v>20</v>
      </c>
      <c r="O1331" s="8" t="s">
        <v>184</v>
      </c>
      <c r="P1331" s="8" t="s">
        <v>185</v>
      </c>
      <c r="Q1331" s="8" t="s">
        <v>186</v>
      </c>
      <c r="R1331" s="8"/>
      <c r="S1331" s="8"/>
      <c r="T1331" s="8"/>
      <c r="U1331" s="8" t="s">
        <v>261</v>
      </c>
      <c r="V1331" s="8"/>
      <c r="W1331" s="8" t="s">
        <v>306</v>
      </c>
      <c r="X1331" s="8" t="s">
        <v>98</v>
      </c>
      <c r="Y1331" s="8" t="s">
        <v>23</v>
      </c>
    </row>
    <row r="1332" spans="1:25" s="7" customFormat="1" hidden="1" x14ac:dyDescent="0.25">
      <c r="A1332" s="283" t="s">
        <v>726</v>
      </c>
      <c r="B1332" s="260">
        <v>45861</v>
      </c>
      <c r="C1332" s="261" t="s">
        <v>542</v>
      </c>
      <c r="D1332" s="261"/>
      <c r="E1332" s="262">
        <v>2000000</v>
      </c>
      <c r="F1332" s="262">
        <v>0</v>
      </c>
      <c r="G1332" s="285">
        <f>Tabla3[[#This Row],[INGRESOS]]-Tabla3[[#This Row],[EGRESOS]]</f>
        <v>-2000000</v>
      </c>
      <c r="H1332" s="285">
        <v>18299903.940000001</v>
      </c>
      <c r="I1332" s="135">
        <v>1170</v>
      </c>
      <c r="J1332" s="136">
        <f>Tabla3[[#This Row],[EGRESOS]]/Tabla3[[#This Row],[TC]]</f>
        <v>1709.4017094017095</v>
      </c>
      <c r="K1332" s="136">
        <f>Tabla3[[#This Row],[INGRESOS]]/Tabla3[[#This Row],[TC]]</f>
        <v>0</v>
      </c>
      <c r="L1332" s="8" t="s">
        <v>303</v>
      </c>
      <c r="M1332" s="8" t="s">
        <v>304</v>
      </c>
      <c r="N1332" s="8" t="s">
        <v>20</v>
      </c>
      <c r="O1332" s="8" t="s">
        <v>184</v>
      </c>
      <c r="P1332" s="8" t="s">
        <v>194</v>
      </c>
      <c r="Q1332" s="8" t="s">
        <v>196</v>
      </c>
      <c r="R1332" s="8" t="s">
        <v>226</v>
      </c>
      <c r="S1332" s="8" t="s">
        <v>311</v>
      </c>
      <c r="T1332" s="8"/>
      <c r="U1332" s="8" t="s">
        <v>277</v>
      </c>
      <c r="V1332" s="8" t="s">
        <v>311</v>
      </c>
      <c r="W1332" s="8" t="s">
        <v>306</v>
      </c>
      <c r="X1332" s="8" t="s">
        <v>103</v>
      </c>
      <c r="Y1332" s="8" t="s">
        <v>23</v>
      </c>
    </row>
    <row r="1333" spans="1:25" s="7" customFormat="1" hidden="1" x14ac:dyDescent="0.25">
      <c r="A1333" s="283" t="s">
        <v>726</v>
      </c>
      <c r="B1333" s="260">
        <v>45861</v>
      </c>
      <c r="C1333" s="261" t="s">
        <v>571</v>
      </c>
      <c r="D1333" s="261"/>
      <c r="E1333" s="262">
        <v>121</v>
      </c>
      <c r="F1333" s="262">
        <v>0</v>
      </c>
      <c r="G1333" s="285">
        <f>Tabla3[[#This Row],[INGRESOS]]-Tabla3[[#This Row],[EGRESOS]]</f>
        <v>-121</v>
      </c>
      <c r="H1333" s="285">
        <v>18299782.940000001</v>
      </c>
      <c r="I1333" s="135">
        <v>1170</v>
      </c>
      <c r="J1333" s="136">
        <f>Tabla3[[#This Row],[EGRESOS]]/Tabla3[[#This Row],[TC]]</f>
        <v>0.10341880341880341</v>
      </c>
      <c r="K1333" s="136">
        <f>Tabla3[[#This Row],[INGRESOS]]/Tabla3[[#This Row],[TC]]</f>
        <v>0</v>
      </c>
      <c r="L1333" s="8" t="s">
        <v>303</v>
      </c>
      <c r="M1333" s="8" t="s">
        <v>304</v>
      </c>
      <c r="N1333" s="8" t="s">
        <v>20</v>
      </c>
      <c r="O1333" s="8" t="s">
        <v>184</v>
      </c>
      <c r="P1333" s="8" t="s">
        <v>185</v>
      </c>
      <c r="Q1333" s="8" t="s">
        <v>186</v>
      </c>
      <c r="R1333" s="8"/>
      <c r="S1333" s="8"/>
      <c r="T1333" s="8"/>
      <c r="U1333" s="8" t="s">
        <v>261</v>
      </c>
      <c r="V1333" s="8"/>
      <c r="W1333" s="8" t="s">
        <v>306</v>
      </c>
      <c r="X1333" s="8" t="s">
        <v>98</v>
      </c>
      <c r="Y1333" s="8" t="s">
        <v>23</v>
      </c>
    </row>
    <row r="1334" spans="1:25" s="7" customFormat="1" hidden="1" x14ac:dyDescent="0.25">
      <c r="A1334" s="283" t="s">
        <v>726</v>
      </c>
      <c r="B1334" s="260">
        <v>45861</v>
      </c>
      <c r="C1334" s="261" t="s">
        <v>943</v>
      </c>
      <c r="D1334" s="261"/>
      <c r="E1334" s="262">
        <v>66313.820000000007</v>
      </c>
      <c r="F1334" s="262">
        <v>0</v>
      </c>
      <c r="G1334" s="285">
        <f>Tabla3[[#This Row],[INGRESOS]]-Tabla3[[#This Row],[EGRESOS]]</f>
        <v>-66313.820000000007</v>
      </c>
      <c r="H1334" s="285">
        <v>18233469.120000001</v>
      </c>
      <c r="I1334" s="135">
        <v>1170</v>
      </c>
      <c r="J1334" s="136">
        <f>Tabla3[[#This Row],[EGRESOS]]/Tabla3[[#This Row],[TC]]</f>
        <v>56.678478632478637</v>
      </c>
      <c r="K1334" s="136">
        <f>Tabla3[[#This Row],[INGRESOS]]/Tabla3[[#This Row],[TC]]</f>
        <v>0</v>
      </c>
      <c r="L1334" s="8" t="s">
        <v>303</v>
      </c>
      <c r="M1334" s="8" t="s">
        <v>304</v>
      </c>
      <c r="N1334" s="8" t="s">
        <v>20</v>
      </c>
      <c r="O1334" s="8" t="s">
        <v>184</v>
      </c>
      <c r="P1334" s="8" t="s">
        <v>187</v>
      </c>
      <c r="Q1334" s="8" t="s">
        <v>188</v>
      </c>
      <c r="R1334" s="8" t="s">
        <v>317</v>
      </c>
      <c r="S1334" s="8"/>
      <c r="T1334" s="8"/>
      <c r="U1334" s="8" t="s">
        <v>261</v>
      </c>
      <c r="V1334" s="8"/>
      <c r="W1334" s="8" t="s">
        <v>306</v>
      </c>
      <c r="X1334" s="8" t="s">
        <v>98</v>
      </c>
      <c r="Y1334" s="8" t="s">
        <v>23</v>
      </c>
    </row>
    <row r="1335" spans="1:25" s="7" customFormat="1" x14ac:dyDescent="0.25">
      <c r="A1335" s="283" t="s">
        <v>726</v>
      </c>
      <c r="B1335" s="260">
        <v>45862</v>
      </c>
      <c r="C1335" s="261" t="s">
        <v>521</v>
      </c>
      <c r="D1335" s="261" t="s">
        <v>1022</v>
      </c>
      <c r="E1335" s="262">
        <v>500000</v>
      </c>
      <c r="F1335" s="262">
        <v>0</v>
      </c>
      <c r="G1335" s="285">
        <f>Tabla3[[#This Row],[INGRESOS]]-Tabla3[[#This Row],[EGRESOS]]</f>
        <v>-500000</v>
      </c>
      <c r="H1335" s="285">
        <v>17733469.120000001</v>
      </c>
      <c r="I1335" s="135">
        <v>1170</v>
      </c>
      <c r="J1335" s="136">
        <f>Tabla3[[#This Row],[EGRESOS]]/Tabla3[[#This Row],[TC]]</f>
        <v>427.35042735042737</v>
      </c>
      <c r="K1335" s="136">
        <f>Tabla3[[#This Row],[INGRESOS]]/Tabla3[[#This Row],[TC]]</f>
        <v>0</v>
      </c>
      <c r="L1335" s="8" t="s">
        <v>303</v>
      </c>
      <c r="M1335" s="8" t="s">
        <v>304</v>
      </c>
      <c r="N1335" s="8" t="s">
        <v>20</v>
      </c>
      <c r="O1335" s="8" t="s">
        <v>742</v>
      </c>
      <c r="P1335" s="8" t="s">
        <v>220</v>
      </c>
      <c r="Q1335" s="8" t="s">
        <v>736</v>
      </c>
      <c r="R1335" s="8" t="s">
        <v>142</v>
      </c>
      <c r="S1335" s="8" t="s">
        <v>876</v>
      </c>
      <c r="T1335" s="8"/>
      <c r="U1335" s="8" t="s">
        <v>258</v>
      </c>
      <c r="V1335" s="8"/>
      <c r="W1335" s="8" t="s">
        <v>306</v>
      </c>
      <c r="X1335" s="8" t="s">
        <v>29</v>
      </c>
      <c r="Y1335" s="8" t="s">
        <v>23</v>
      </c>
    </row>
    <row r="1336" spans="1:25" s="7" customFormat="1" hidden="1" x14ac:dyDescent="0.25">
      <c r="A1336" s="283" t="s">
        <v>726</v>
      </c>
      <c r="B1336" s="260">
        <v>45862</v>
      </c>
      <c r="C1336" s="261" t="s">
        <v>521</v>
      </c>
      <c r="D1336" s="261" t="s">
        <v>1021</v>
      </c>
      <c r="E1336" s="262">
        <v>402220</v>
      </c>
      <c r="F1336" s="262">
        <v>0</v>
      </c>
      <c r="G1336" s="285">
        <f>Tabla3[[#This Row],[INGRESOS]]-Tabla3[[#This Row],[EGRESOS]]</f>
        <v>-402220</v>
      </c>
      <c r="H1336" s="285">
        <v>17331249.120000001</v>
      </c>
      <c r="I1336" s="135">
        <v>1170</v>
      </c>
      <c r="J1336" s="136">
        <f>Tabla3[[#This Row],[EGRESOS]]/Tabla3[[#This Row],[TC]]</f>
        <v>343.77777777777777</v>
      </c>
      <c r="K1336" s="136">
        <f>Tabla3[[#This Row],[INGRESOS]]/Tabla3[[#This Row],[TC]]</f>
        <v>0</v>
      </c>
      <c r="L1336" s="8" t="s">
        <v>303</v>
      </c>
      <c r="M1336" s="8" t="s">
        <v>304</v>
      </c>
      <c r="N1336" s="8" t="s">
        <v>20</v>
      </c>
      <c r="O1336" s="8" t="s">
        <v>204</v>
      </c>
      <c r="P1336" s="8" t="s">
        <v>210</v>
      </c>
      <c r="Q1336" s="8" t="s">
        <v>211</v>
      </c>
      <c r="R1336" s="8" t="s">
        <v>455</v>
      </c>
      <c r="S1336" s="8" t="s">
        <v>456</v>
      </c>
      <c r="T1336" s="8"/>
      <c r="U1336" s="8" t="s">
        <v>258</v>
      </c>
      <c r="V1336" s="8"/>
      <c r="W1336" s="8" t="s">
        <v>306</v>
      </c>
      <c r="X1336" s="8" t="s">
        <v>98</v>
      </c>
      <c r="Y1336" s="8" t="s">
        <v>23</v>
      </c>
    </row>
    <row r="1337" spans="1:25" s="7" customFormat="1" hidden="1" x14ac:dyDescent="0.25">
      <c r="A1337" s="283" t="s">
        <v>726</v>
      </c>
      <c r="B1337" s="260">
        <v>45862</v>
      </c>
      <c r="C1337" s="261" t="s">
        <v>1023</v>
      </c>
      <c r="D1337" s="261"/>
      <c r="E1337" s="262">
        <v>17000000</v>
      </c>
      <c r="F1337" s="262">
        <v>0</v>
      </c>
      <c r="G1337" s="285">
        <f>Tabla3[[#This Row],[INGRESOS]]-Tabla3[[#This Row],[EGRESOS]]</f>
        <v>-17000000</v>
      </c>
      <c r="H1337" s="285">
        <v>331249.12</v>
      </c>
      <c r="I1337" s="135">
        <v>1170</v>
      </c>
      <c r="J1337" s="136">
        <f>Tabla3[[#This Row],[EGRESOS]]/Tabla3[[#This Row],[TC]]</f>
        <v>14529.914529914529</v>
      </c>
      <c r="K1337" s="136">
        <f>Tabla3[[#This Row],[INGRESOS]]/Tabla3[[#This Row],[TC]]</f>
        <v>0</v>
      </c>
      <c r="L1337" s="8" t="s">
        <v>303</v>
      </c>
      <c r="M1337" s="8" t="s">
        <v>304</v>
      </c>
      <c r="N1337" s="8" t="s">
        <v>20</v>
      </c>
      <c r="O1337" s="8" t="s">
        <v>214</v>
      </c>
      <c r="P1337" s="8" t="s">
        <v>60</v>
      </c>
      <c r="Q1337" s="7" t="s">
        <v>844</v>
      </c>
      <c r="R1337" s="8" t="s">
        <v>845</v>
      </c>
      <c r="S1337" s="8" t="s">
        <v>846</v>
      </c>
      <c r="T1337" s="8"/>
      <c r="U1337" s="8" t="s">
        <v>847</v>
      </c>
      <c r="V1337" s="8"/>
      <c r="W1337" s="8" t="s">
        <v>306</v>
      </c>
      <c r="X1337" s="8" t="s">
        <v>60</v>
      </c>
      <c r="Y1337" s="8" t="s">
        <v>23</v>
      </c>
    </row>
    <row r="1338" spans="1:25" s="7" customFormat="1" hidden="1" x14ac:dyDescent="0.25">
      <c r="A1338" s="283" t="s">
        <v>726</v>
      </c>
      <c r="B1338" s="260">
        <v>45862</v>
      </c>
      <c r="C1338" s="261" t="s">
        <v>830</v>
      </c>
      <c r="D1338" s="261"/>
      <c r="E1338" s="262">
        <v>0</v>
      </c>
      <c r="F1338" s="262">
        <v>769758.03</v>
      </c>
      <c r="G1338" s="285">
        <f>Tabla3[[#This Row],[INGRESOS]]-Tabla3[[#This Row],[EGRESOS]]</f>
        <v>769758.03</v>
      </c>
      <c r="H1338" s="285">
        <v>1101007.1499999999</v>
      </c>
      <c r="I1338" s="135">
        <v>1170</v>
      </c>
      <c r="J1338" s="136">
        <f>Tabla3[[#This Row],[EGRESOS]]/Tabla3[[#This Row],[TC]]</f>
        <v>0</v>
      </c>
      <c r="K1338" s="136">
        <f>Tabla3[[#This Row],[INGRESOS]]/Tabla3[[#This Row],[TC]]</f>
        <v>657.9128461538462</v>
      </c>
      <c r="L1338" s="8" t="s">
        <v>303</v>
      </c>
      <c r="M1338" s="8" t="s">
        <v>304</v>
      </c>
      <c r="N1338" s="8" t="s">
        <v>20</v>
      </c>
      <c r="O1338" s="8" t="s">
        <v>197</v>
      </c>
      <c r="P1338" s="8" t="s">
        <v>198</v>
      </c>
      <c r="Q1338" s="8" t="s">
        <v>201</v>
      </c>
      <c r="R1338" s="8" t="s">
        <v>831</v>
      </c>
      <c r="S1338" s="8" t="s">
        <v>682</v>
      </c>
      <c r="T1338" s="8"/>
      <c r="U1338" s="8" t="s">
        <v>269</v>
      </c>
      <c r="V1338" s="8"/>
      <c r="W1338" s="8" t="s">
        <v>306</v>
      </c>
      <c r="X1338" s="8" t="s">
        <v>23</v>
      </c>
      <c r="Y1338" s="8" t="s">
        <v>96</v>
      </c>
    </row>
    <row r="1339" spans="1:25" s="7" customFormat="1" hidden="1" x14ac:dyDescent="0.25">
      <c r="A1339" s="283" t="s">
        <v>726</v>
      </c>
      <c r="B1339" s="260">
        <v>45862</v>
      </c>
      <c r="C1339" s="261" t="s">
        <v>637</v>
      </c>
      <c r="D1339" s="261"/>
      <c r="E1339" s="262">
        <v>4618.55</v>
      </c>
      <c r="F1339" s="262">
        <v>0</v>
      </c>
      <c r="G1339" s="285">
        <f>Tabla3[[#This Row],[INGRESOS]]-Tabla3[[#This Row],[EGRESOS]]</f>
        <v>-4618.55</v>
      </c>
      <c r="H1339" s="285">
        <v>1096388.6000000001</v>
      </c>
      <c r="I1339" s="135">
        <v>1170</v>
      </c>
      <c r="J1339" s="136">
        <f>Tabla3[[#This Row],[EGRESOS]]/Tabla3[[#This Row],[TC]]</f>
        <v>3.9474786324786328</v>
      </c>
      <c r="K1339" s="136">
        <f>Tabla3[[#This Row],[INGRESOS]]/Tabla3[[#This Row],[TC]]</f>
        <v>0</v>
      </c>
      <c r="L1339" s="8" t="s">
        <v>303</v>
      </c>
      <c r="M1339" s="8" t="s">
        <v>304</v>
      </c>
      <c r="N1339" s="8" t="s">
        <v>20</v>
      </c>
      <c r="O1339" s="8" t="s">
        <v>184</v>
      </c>
      <c r="P1339" s="8" t="s">
        <v>187</v>
      </c>
      <c r="Q1339" s="8" t="s">
        <v>188</v>
      </c>
      <c r="R1339" s="8" t="s">
        <v>317</v>
      </c>
      <c r="S1339" s="8"/>
      <c r="T1339" s="8"/>
      <c r="U1339" s="8" t="s">
        <v>261</v>
      </c>
      <c r="V1339" s="8"/>
      <c r="W1339" s="8" t="s">
        <v>306</v>
      </c>
      <c r="X1339" s="8" t="s">
        <v>98</v>
      </c>
      <c r="Y1339" s="8" t="s">
        <v>23</v>
      </c>
    </row>
    <row r="1340" spans="1:25" s="7" customFormat="1" hidden="1" x14ac:dyDescent="0.25">
      <c r="A1340" s="283" t="s">
        <v>726</v>
      </c>
      <c r="B1340" s="260">
        <v>45862</v>
      </c>
      <c r="C1340" s="261" t="s">
        <v>943</v>
      </c>
      <c r="D1340" s="261"/>
      <c r="E1340" s="262">
        <v>5413.32</v>
      </c>
      <c r="F1340" s="262">
        <v>0</v>
      </c>
      <c r="G1340" s="285">
        <f>Tabla3[[#This Row],[INGRESOS]]-Tabla3[[#This Row],[EGRESOS]]</f>
        <v>-5413.32</v>
      </c>
      <c r="H1340" s="285">
        <v>1090975.28</v>
      </c>
      <c r="I1340" s="135">
        <v>1170</v>
      </c>
      <c r="J1340" s="136">
        <f>Tabla3[[#This Row],[EGRESOS]]/Tabla3[[#This Row],[TC]]</f>
        <v>4.6267692307692307</v>
      </c>
      <c r="K1340" s="136">
        <f>Tabla3[[#This Row],[INGRESOS]]/Tabla3[[#This Row],[TC]]</f>
        <v>0</v>
      </c>
      <c r="L1340" s="8" t="s">
        <v>303</v>
      </c>
      <c r="M1340" s="8" t="s">
        <v>304</v>
      </c>
      <c r="N1340" s="8" t="s">
        <v>20</v>
      </c>
      <c r="O1340" s="8" t="s">
        <v>184</v>
      </c>
      <c r="P1340" s="8" t="s">
        <v>187</v>
      </c>
      <c r="Q1340" s="8" t="s">
        <v>188</v>
      </c>
      <c r="R1340" s="8" t="s">
        <v>317</v>
      </c>
      <c r="S1340" s="8"/>
      <c r="T1340" s="8"/>
      <c r="U1340" s="8" t="s">
        <v>261</v>
      </c>
      <c r="V1340" s="8"/>
      <c r="W1340" s="8" t="s">
        <v>306</v>
      </c>
      <c r="X1340" s="8" t="s">
        <v>98</v>
      </c>
      <c r="Y1340" s="8" t="s">
        <v>23</v>
      </c>
    </row>
    <row r="1341" spans="1:25" s="7" customFormat="1" hidden="1" x14ac:dyDescent="0.25">
      <c r="A1341" s="283" t="s">
        <v>726</v>
      </c>
      <c r="B1341" s="260">
        <v>45863</v>
      </c>
      <c r="C1341" s="261" t="s">
        <v>521</v>
      </c>
      <c r="D1341" s="261" t="s">
        <v>1025</v>
      </c>
      <c r="E1341" s="262">
        <v>560000</v>
      </c>
      <c r="F1341" s="262">
        <v>0</v>
      </c>
      <c r="G1341" s="285">
        <f>Tabla3[[#This Row],[INGRESOS]]-Tabla3[[#This Row],[EGRESOS]]</f>
        <v>-560000</v>
      </c>
      <c r="H1341" s="285">
        <v>530975.28</v>
      </c>
      <c r="I1341" s="135">
        <v>1170</v>
      </c>
      <c r="J1341" s="136">
        <f>Tabla3[[#This Row],[EGRESOS]]/Tabla3[[#This Row],[TC]]</f>
        <v>478.63247863247864</v>
      </c>
      <c r="K1341" s="136">
        <f>Tabla3[[#This Row],[INGRESOS]]/Tabla3[[#This Row],[TC]]</f>
        <v>0</v>
      </c>
      <c r="L1341" s="8" t="s">
        <v>303</v>
      </c>
      <c r="M1341" s="8" t="s">
        <v>304</v>
      </c>
      <c r="N1341" s="8" t="s">
        <v>20</v>
      </c>
      <c r="O1341" s="8" t="s">
        <v>204</v>
      </c>
      <c r="P1341" s="8" t="s">
        <v>210</v>
      </c>
      <c r="Q1341" s="8" t="s">
        <v>251</v>
      </c>
      <c r="R1341" s="8" t="s">
        <v>1029</v>
      </c>
      <c r="S1341" s="8" t="s">
        <v>1027</v>
      </c>
      <c r="T1341" s="8" t="s">
        <v>1026</v>
      </c>
      <c r="U1341" s="8" t="s">
        <v>258</v>
      </c>
      <c r="V1341" s="8"/>
      <c r="W1341" s="8" t="s">
        <v>306</v>
      </c>
      <c r="X1341" s="8" t="s">
        <v>29</v>
      </c>
      <c r="Y1341" s="8" t="s">
        <v>23</v>
      </c>
    </row>
    <row r="1342" spans="1:25" s="7" customFormat="1" hidden="1" x14ac:dyDescent="0.25">
      <c r="A1342" s="283" t="s">
        <v>726</v>
      </c>
      <c r="B1342" s="260">
        <v>45863</v>
      </c>
      <c r="C1342" s="261" t="s">
        <v>521</v>
      </c>
      <c r="D1342" s="261" t="s">
        <v>1024</v>
      </c>
      <c r="E1342" s="262">
        <v>215300</v>
      </c>
      <c r="F1342" s="262">
        <v>0</v>
      </c>
      <c r="G1342" s="285">
        <f>Tabla3[[#This Row],[INGRESOS]]-Tabla3[[#This Row],[EGRESOS]]</f>
        <v>-215300</v>
      </c>
      <c r="H1342" s="285">
        <v>315675.28000000003</v>
      </c>
      <c r="I1342" s="135">
        <v>1170</v>
      </c>
      <c r="J1342" s="136">
        <f>Tabla3[[#This Row],[EGRESOS]]/Tabla3[[#This Row],[TC]]</f>
        <v>184.01709401709402</v>
      </c>
      <c r="K1342" s="136">
        <f>Tabla3[[#This Row],[INGRESOS]]/Tabla3[[#This Row],[TC]]</f>
        <v>0</v>
      </c>
      <c r="L1342" s="8" t="s">
        <v>303</v>
      </c>
      <c r="M1342" s="8" t="s">
        <v>304</v>
      </c>
      <c r="N1342" s="8" t="s">
        <v>20</v>
      </c>
      <c r="O1342" s="8" t="s">
        <v>204</v>
      </c>
      <c r="P1342" s="8" t="s">
        <v>210</v>
      </c>
      <c r="Q1342" s="8" t="s">
        <v>212</v>
      </c>
      <c r="R1342" s="8" t="s">
        <v>1028</v>
      </c>
      <c r="S1342" s="8" t="s">
        <v>835</v>
      </c>
      <c r="T1342" s="8"/>
      <c r="U1342" s="8" t="s">
        <v>260</v>
      </c>
      <c r="V1342" s="8"/>
      <c r="W1342" s="8" t="s">
        <v>306</v>
      </c>
      <c r="X1342" s="8" t="s">
        <v>29</v>
      </c>
      <c r="Y1342" s="8" t="s">
        <v>23</v>
      </c>
    </row>
    <row r="1343" spans="1:25" s="7" customFormat="1" hidden="1" x14ac:dyDescent="0.25">
      <c r="A1343" s="283" t="s">
        <v>726</v>
      </c>
      <c r="B1343" s="260">
        <v>45863</v>
      </c>
      <c r="C1343" s="261" t="s">
        <v>1033</v>
      </c>
      <c r="D1343" s="261"/>
      <c r="E1343" s="262">
        <v>0</v>
      </c>
      <c r="F1343" s="262">
        <v>7800000</v>
      </c>
      <c r="G1343" s="285">
        <f>Tabla3[[#This Row],[INGRESOS]]-Tabla3[[#This Row],[EGRESOS]]</f>
        <v>7800000</v>
      </c>
      <c r="H1343" s="285">
        <v>8115675.2800000003</v>
      </c>
      <c r="I1343" s="135">
        <v>1170</v>
      </c>
      <c r="J1343" s="136">
        <f>Tabla3[[#This Row],[EGRESOS]]/Tabla3[[#This Row],[TC]]</f>
        <v>0</v>
      </c>
      <c r="K1343" s="136">
        <f>Tabla3[[#This Row],[INGRESOS]]/Tabla3[[#This Row],[TC]]</f>
        <v>6666.666666666667</v>
      </c>
      <c r="L1343" s="8" t="s">
        <v>303</v>
      </c>
      <c r="M1343" s="8" t="s">
        <v>304</v>
      </c>
      <c r="N1343" s="8" t="s">
        <v>20</v>
      </c>
      <c r="O1343" s="8" t="s">
        <v>214</v>
      </c>
      <c r="P1343" s="8" t="s">
        <v>60</v>
      </c>
      <c r="Q1343" s="8" t="s">
        <v>856</v>
      </c>
      <c r="R1343" s="8" t="s">
        <v>845</v>
      </c>
      <c r="S1343" s="8" t="s">
        <v>846</v>
      </c>
      <c r="T1343" s="8"/>
      <c r="U1343" s="8" t="s">
        <v>847</v>
      </c>
      <c r="V1343" s="8"/>
      <c r="W1343" s="8" t="s">
        <v>306</v>
      </c>
      <c r="X1343" s="8" t="s">
        <v>23</v>
      </c>
      <c r="Y1343" s="8" t="s">
        <v>60</v>
      </c>
    </row>
    <row r="1344" spans="1:25" s="7" customFormat="1" hidden="1" x14ac:dyDescent="0.25">
      <c r="A1344" s="283" t="s">
        <v>726</v>
      </c>
      <c r="B1344" s="260">
        <v>45863</v>
      </c>
      <c r="C1344" s="261" t="s">
        <v>323</v>
      </c>
      <c r="D1344" s="261"/>
      <c r="E1344" s="262">
        <v>4200000</v>
      </c>
      <c r="F1344" s="262">
        <v>0</v>
      </c>
      <c r="G1344" s="285">
        <f>Tabla3[[#This Row],[INGRESOS]]-Tabla3[[#This Row],[EGRESOS]]</f>
        <v>-4200000</v>
      </c>
      <c r="H1344" s="285">
        <v>3915675.28</v>
      </c>
      <c r="I1344" s="135">
        <v>1170</v>
      </c>
      <c r="J1344" s="136">
        <f>Tabla3[[#This Row],[EGRESOS]]/Tabla3[[#This Row],[TC]]</f>
        <v>3589.7435897435898</v>
      </c>
      <c r="K1344" s="136">
        <f>Tabla3[[#This Row],[INGRESOS]]/Tabla3[[#This Row],[TC]]</f>
        <v>0</v>
      </c>
      <c r="L1344" s="8" t="s">
        <v>303</v>
      </c>
      <c r="M1344" s="8" t="s">
        <v>304</v>
      </c>
      <c r="N1344" s="8" t="s">
        <v>20</v>
      </c>
      <c r="O1344" s="8" t="s">
        <v>214</v>
      </c>
      <c r="P1344" s="8" t="s">
        <v>216</v>
      </c>
      <c r="Q1344" s="8" t="s">
        <v>217</v>
      </c>
      <c r="R1344" s="8" t="s">
        <v>686</v>
      </c>
      <c r="S1344" s="8"/>
      <c r="T1344" s="8"/>
      <c r="U1344" s="8" t="s">
        <v>262</v>
      </c>
      <c r="V1344" s="8"/>
      <c r="W1344" s="8" t="s">
        <v>306</v>
      </c>
      <c r="X1344" s="8"/>
      <c r="Y1344" s="8"/>
    </row>
    <row r="1345" spans="1:25" s="7" customFormat="1" hidden="1" x14ac:dyDescent="0.25">
      <c r="A1345" s="283" t="s">
        <v>726</v>
      </c>
      <c r="B1345" s="260">
        <v>45863</v>
      </c>
      <c r="C1345" s="261" t="s">
        <v>571</v>
      </c>
      <c r="D1345" s="261"/>
      <c r="E1345" s="262">
        <v>121</v>
      </c>
      <c r="F1345" s="262">
        <v>0</v>
      </c>
      <c r="G1345" s="285">
        <f>Tabla3[[#This Row],[INGRESOS]]-Tabla3[[#This Row],[EGRESOS]]</f>
        <v>-121</v>
      </c>
      <c r="H1345" s="285">
        <v>3915554.28</v>
      </c>
      <c r="I1345" s="135">
        <v>1170</v>
      </c>
      <c r="J1345" s="136">
        <f>Tabla3[[#This Row],[EGRESOS]]/Tabla3[[#This Row],[TC]]</f>
        <v>0.10341880341880341</v>
      </c>
      <c r="K1345" s="136">
        <f>Tabla3[[#This Row],[INGRESOS]]/Tabla3[[#This Row],[TC]]</f>
        <v>0</v>
      </c>
      <c r="L1345" s="8" t="s">
        <v>303</v>
      </c>
      <c r="M1345" s="8" t="s">
        <v>304</v>
      </c>
      <c r="N1345" s="8" t="s">
        <v>20</v>
      </c>
      <c r="O1345" s="8" t="s">
        <v>184</v>
      </c>
      <c r="P1345" s="8" t="s">
        <v>185</v>
      </c>
      <c r="Q1345" s="8" t="s">
        <v>186</v>
      </c>
      <c r="R1345" s="8"/>
      <c r="S1345" s="8"/>
      <c r="T1345" s="8"/>
      <c r="U1345" s="8" t="s">
        <v>261</v>
      </c>
      <c r="V1345" s="8"/>
      <c r="W1345" s="8" t="s">
        <v>306</v>
      </c>
      <c r="X1345" s="8" t="s">
        <v>98</v>
      </c>
      <c r="Y1345" s="8" t="s">
        <v>23</v>
      </c>
    </row>
    <row r="1346" spans="1:25" s="7" customFormat="1" hidden="1" x14ac:dyDescent="0.25">
      <c r="A1346" s="283" t="s">
        <v>726</v>
      </c>
      <c r="B1346" s="260">
        <v>45863</v>
      </c>
      <c r="C1346" s="261" t="s">
        <v>323</v>
      </c>
      <c r="D1346" s="261"/>
      <c r="E1346" s="262">
        <v>3600000</v>
      </c>
      <c r="F1346" s="262">
        <v>0</v>
      </c>
      <c r="G1346" s="285">
        <f>Tabla3[[#This Row],[INGRESOS]]-Tabla3[[#This Row],[EGRESOS]]</f>
        <v>-3600000</v>
      </c>
      <c r="H1346" s="285">
        <v>315554.28000000003</v>
      </c>
      <c r="I1346" s="135">
        <v>1170</v>
      </c>
      <c r="J1346" s="136">
        <f>Tabla3[[#This Row],[EGRESOS]]/Tabla3[[#This Row],[TC]]</f>
        <v>3076.9230769230771</v>
      </c>
      <c r="K1346" s="136">
        <f>Tabla3[[#This Row],[INGRESOS]]/Tabla3[[#This Row],[TC]]</f>
        <v>0</v>
      </c>
      <c r="L1346" s="8" t="s">
        <v>303</v>
      </c>
      <c r="M1346" s="8" t="s">
        <v>304</v>
      </c>
      <c r="N1346" s="8" t="s">
        <v>20</v>
      </c>
      <c r="O1346" s="8" t="s">
        <v>214</v>
      </c>
      <c r="P1346" s="8" t="s">
        <v>216</v>
      </c>
      <c r="Q1346" s="8" t="s">
        <v>217</v>
      </c>
      <c r="R1346" s="8" t="s">
        <v>484</v>
      </c>
      <c r="S1346" s="8"/>
      <c r="T1346" s="8"/>
      <c r="U1346" s="8" t="s">
        <v>262</v>
      </c>
      <c r="V1346" s="8"/>
      <c r="W1346" s="8" t="s">
        <v>306</v>
      </c>
      <c r="X1346" s="8"/>
      <c r="Y1346" s="8"/>
    </row>
    <row r="1347" spans="1:25" s="7" customFormat="1" hidden="1" x14ac:dyDescent="0.25">
      <c r="A1347" s="283" t="s">
        <v>726</v>
      </c>
      <c r="B1347" s="260">
        <v>45863</v>
      </c>
      <c r="C1347" s="261" t="s">
        <v>571</v>
      </c>
      <c r="D1347" s="261"/>
      <c r="E1347" s="262">
        <v>121</v>
      </c>
      <c r="F1347" s="262">
        <v>0</v>
      </c>
      <c r="G1347" s="285">
        <f>Tabla3[[#This Row],[INGRESOS]]-Tabla3[[#This Row],[EGRESOS]]</f>
        <v>-121</v>
      </c>
      <c r="H1347" s="285">
        <v>315433.28000000003</v>
      </c>
      <c r="I1347" s="135">
        <v>1170</v>
      </c>
      <c r="J1347" s="136">
        <f>Tabla3[[#This Row],[EGRESOS]]/Tabla3[[#This Row],[TC]]</f>
        <v>0.10341880341880341</v>
      </c>
      <c r="K1347" s="136">
        <f>Tabla3[[#This Row],[INGRESOS]]/Tabla3[[#This Row],[TC]]</f>
        <v>0</v>
      </c>
      <c r="L1347" s="8" t="s">
        <v>303</v>
      </c>
      <c r="M1347" s="8" t="s">
        <v>304</v>
      </c>
      <c r="N1347" s="8" t="s">
        <v>20</v>
      </c>
      <c r="O1347" s="8" t="s">
        <v>184</v>
      </c>
      <c r="P1347" s="8" t="s">
        <v>185</v>
      </c>
      <c r="Q1347" s="8" t="s">
        <v>186</v>
      </c>
      <c r="R1347" s="8"/>
      <c r="S1347" s="8"/>
      <c r="T1347" s="8"/>
      <c r="U1347" s="8" t="s">
        <v>261</v>
      </c>
      <c r="V1347" s="8"/>
      <c r="W1347" s="8" t="s">
        <v>306</v>
      </c>
      <c r="X1347" s="8" t="s">
        <v>98</v>
      </c>
      <c r="Y1347" s="8" t="s">
        <v>23</v>
      </c>
    </row>
    <row r="1348" spans="1:25" s="7" customFormat="1" hidden="1" x14ac:dyDescent="0.25">
      <c r="A1348" s="283" t="s">
        <v>726</v>
      </c>
      <c r="B1348" s="260">
        <v>45863</v>
      </c>
      <c r="C1348" s="261" t="s">
        <v>943</v>
      </c>
      <c r="D1348" s="261"/>
      <c r="E1348" s="262">
        <v>4653.26</v>
      </c>
      <c r="F1348" s="262">
        <v>0</v>
      </c>
      <c r="G1348" s="285">
        <f>Tabla3[[#This Row],[INGRESOS]]-Tabla3[[#This Row],[EGRESOS]]</f>
        <v>-4653.26</v>
      </c>
      <c r="H1348" s="285">
        <v>310780.02</v>
      </c>
      <c r="I1348" s="135">
        <v>1170</v>
      </c>
      <c r="J1348" s="136">
        <f>Tabla3[[#This Row],[EGRESOS]]/Tabla3[[#This Row],[TC]]</f>
        <v>3.9771452991452994</v>
      </c>
      <c r="K1348" s="136">
        <f>Tabla3[[#This Row],[INGRESOS]]/Tabla3[[#This Row],[TC]]</f>
        <v>0</v>
      </c>
      <c r="L1348" s="8" t="s">
        <v>303</v>
      </c>
      <c r="M1348" s="8" t="s">
        <v>304</v>
      </c>
      <c r="N1348" s="8" t="s">
        <v>20</v>
      </c>
      <c r="O1348" s="8" t="s">
        <v>184</v>
      </c>
      <c r="P1348" s="8" t="s">
        <v>187</v>
      </c>
      <c r="Q1348" s="8" t="s">
        <v>188</v>
      </c>
      <c r="R1348" s="8" t="s">
        <v>317</v>
      </c>
      <c r="S1348" s="8"/>
      <c r="T1348" s="8"/>
      <c r="U1348" s="8" t="s">
        <v>261</v>
      </c>
      <c r="V1348" s="8"/>
      <c r="W1348" s="8" t="s">
        <v>306</v>
      </c>
      <c r="X1348" s="8" t="s">
        <v>98</v>
      </c>
      <c r="Y1348" s="8" t="s">
        <v>23</v>
      </c>
    </row>
    <row r="1349" spans="1:25" s="7" customFormat="1" x14ac:dyDescent="0.25">
      <c r="A1349" s="283" t="s">
        <v>726</v>
      </c>
      <c r="B1349" s="260">
        <v>45866</v>
      </c>
      <c r="C1349" s="261" t="s">
        <v>561</v>
      </c>
      <c r="D1349" s="261" t="s">
        <v>1032</v>
      </c>
      <c r="E1349" s="262">
        <v>500000</v>
      </c>
      <c r="F1349" s="262">
        <v>0</v>
      </c>
      <c r="G1349" s="285">
        <f>Tabla3[[#This Row],[INGRESOS]]-Tabla3[[#This Row],[EGRESOS]]</f>
        <v>-500000</v>
      </c>
      <c r="H1349" s="285">
        <v>-189219.98</v>
      </c>
      <c r="I1349" s="135">
        <v>1170</v>
      </c>
      <c r="J1349" s="136">
        <f>Tabla3[[#This Row],[EGRESOS]]/Tabla3[[#This Row],[TC]]</f>
        <v>427.35042735042737</v>
      </c>
      <c r="K1349" s="136">
        <f>Tabla3[[#This Row],[INGRESOS]]/Tabla3[[#This Row],[TC]]</f>
        <v>0</v>
      </c>
      <c r="L1349" s="8" t="s">
        <v>303</v>
      </c>
      <c r="M1349" s="8" t="s">
        <v>304</v>
      </c>
      <c r="N1349" s="8" t="s">
        <v>20</v>
      </c>
      <c r="O1349" s="8" t="s">
        <v>742</v>
      </c>
      <c r="P1349" s="8" t="s">
        <v>220</v>
      </c>
      <c r="Q1349" s="8" t="s">
        <v>736</v>
      </c>
      <c r="R1349" s="8" t="s">
        <v>142</v>
      </c>
      <c r="S1349" s="8" t="s">
        <v>876</v>
      </c>
      <c r="T1349" s="8"/>
      <c r="U1349" s="8" t="s">
        <v>258</v>
      </c>
      <c r="V1349" s="8"/>
      <c r="W1349" s="8" t="s">
        <v>306</v>
      </c>
      <c r="X1349" s="8" t="s">
        <v>29</v>
      </c>
      <c r="Y1349" s="8" t="s">
        <v>23</v>
      </c>
    </row>
    <row r="1350" spans="1:25" s="7" customFormat="1" hidden="1" x14ac:dyDescent="0.25">
      <c r="A1350" s="283" t="s">
        <v>726</v>
      </c>
      <c r="B1350" s="260">
        <v>45866</v>
      </c>
      <c r="C1350" s="261" t="s">
        <v>1037</v>
      </c>
      <c r="D1350" s="261"/>
      <c r="E1350" s="262">
        <v>0</v>
      </c>
      <c r="F1350" s="262">
        <v>200000</v>
      </c>
      <c r="G1350" s="285">
        <f>Tabla3[[#This Row],[INGRESOS]]-Tabla3[[#This Row],[EGRESOS]]</f>
        <v>200000</v>
      </c>
      <c r="H1350" s="285">
        <v>10780.02</v>
      </c>
      <c r="I1350" s="135">
        <v>1170</v>
      </c>
      <c r="J1350" s="136">
        <f>Tabla3[[#This Row],[EGRESOS]]/Tabla3[[#This Row],[TC]]</f>
        <v>0</v>
      </c>
      <c r="K1350" s="136">
        <f>Tabla3[[#This Row],[INGRESOS]]/Tabla3[[#This Row],[TC]]</f>
        <v>170.94017094017093</v>
      </c>
      <c r="L1350" s="8" t="s">
        <v>303</v>
      </c>
      <c r="M1350" s="8" t="s">
        <v>304</v>
      </c>
      <c r="N1350" s="8" t="s">
        <v>20</v>
      </c>
      <c r="O1350" s="8" t="s">
        <v>214</v>
      </c>
      <c r="P1350" s="8" t="s">
        <v>60</v>
      </c>
      <c r="Q1350" s="8" t="s">
        <v>856</v>
      </c>
      <c r="R1350" s="8" t="s">
        <v>845</v>
      </c>
      <c r="S1350" s="8" t="s">
        <v>846</v>
      </c>
      <c r="T1350" s="8"/>
      <c r="U1350" s="8" t="s">
        <v>847</v>
      </c>
      <c r="V1350" s="8"/>
      <c r="W1350" s="8" t="s">
        <v>306</v>
      </c>
      <c r="X1350" s="8" t="s">
        <v>23</v>
      </c>
      <c r="Y1350" s="8" t="s">
        <v>60</v>
      </c>
    </row>
    <row r="1351" spans="1:25" s="7" customFormat="1" hidden="1" x14ac:dyDescent="0.25">
      <c r="A1351" s="283" t="s">
        <v>726</v>
      </c>
      <c r="B1351" s="260">
        <v>45866</v>
      </c>
      <c r="C1351" s="261" t="s">
        <v>1036</v>
      </c>
      <c r="D1351" s="261"/>
      <c r="E1351" s="262">
        <v>0</v>
      </c>
      <c r="F1351" s="262">
        <v>54808000</v>
      </c>
      <c r="G1351" s="285">
        <f>Tabla3[[#This Row],[INGRESOS]]-Tabla3[[#This Row],[EGRESOS]]</f>
        <v>54808000</v>
      </c>
      <c r="H1351" s="285">
        <v>54818780.020000003</v>
      </c>
      <c r="I1351" s="135">
        <v>1170</v>
      </c>
      <c r="J1351" s="136">
        <f>Tabla3[[#This Row],[EGRESOS]]/Tabla3[[#This Row],[TC]]</f>
        <v>0</v>
      </c>
      <c r="K1351" s="136">
        <f>Tabla3[[#This Row],[INGRESOS]]/Tabla3[[#This Row],[TC]]</f>
        <v>46844.444444444445</v>
      </c>
      <c r="L1351" s="8" t="s">
        <v>303</v>
      </c>
      <c r="M1351" s="8" t="s">
        <v>304</v>
      </c>
      <c r="N1351" s="8" t="s">
        <v>20</v>
      </c>
      <c r="O1351" s="8" t="s">
        <v>197</v>
      </c>
      <c r="P1351" s="8" t="s">
        <v>198</v>
      </c>
      <c r="Q1351" s="8" t="s">
        <v>201</v>
      </c>
      <c r="R1351" s="8" t="s">
        <v>681</v>
      </c>
      <c r="S1351" s="8" t="s">
        <v>682</v>
      </c>
      <c r="T1351" s="8"/>
      <c r="U1351" s="8" t="s">
        <v>269</v>
      </c>
      <c r="V1351" s="8"/>
      <c r="W1351" s="8" t="s">
        <v>306</v>
      </c>
      <c r="X1351" s="8" t="s">
        <v>23</v>
      </c>
      <c r="Y1351" s="8" t="s">
        <v>96</v>
      </c>
    </row>
    <row r="1352" spans="1:25" s="7" customFormat="1" hidden="1" x14ac:dyDescent="0.25">
      <c r="A1352" s="283" t="s">
        <v>726</v>
      </c>
      <c r="B1352" s="260">
        <v>45866</v>
      </c>
      <c r="C1352" s="261" t="s">
        <v>507</v>
      </c>
      <c r="D1352" s="261"/>
      <c r="E1352" s="262">
        <v>3213</v>
      </c>
      <c r="F1352" s="262">
        <v>0</v>
      </c>
      <c r="G1352" s="285">
        <f>Tabla3[[#This Row],[INGRESOS]]-Tabla3[[#This Row],[EGRESOS]]</f>
        <v>-3213</v>
      </c>
      <c r="H1352" s="285">
        <v>54815567.020000003</v>
      </c>
      <c r="I1352" s="135">
        <v>1170</v>
      </c>
      <c r="J1352" s="136">
        <f>Tabla3[[#This Row],[EGRESOS]]/Tabla3[[#This Row],[TC]]</f>
        <v>2.7461538461538462</v>
      </c>
      <c r="K1352" s="136">
        <f>Tabla3[[#This Row],[INGRESOS]]/Tabla3[[#This Row],[TC]]</f>
        <v>0</v>
      </c>
      <c r="L1352" s="8" t="s">
        <v>303</v>
      </c>
      <c r="M1352" s="8" t="s">
        <v>304</v>
      </c>
      <c r="N1352" s="8" t="s">
        <v>20</v>
      </c>
      <c r="O1352" s="8" t="s">
        <v>184</v>
      </c>
      <c r="P1352" s="8" t="s">
        <v>187</v>
      </c>
      <c r="Q1352" s="8" t="s">
        <v>188</v>
      </c>
      <c r="R1352" s="8" t="s">
        <v>308</v>
      </c>
      <c r="S1352" s="8"/>
      <c r="T1352" s="8"/>
      <c r="U1352" s="8" t="s">
        <v>261</v>
      </c>
      <c r="V1352" s="8"/>
      <c r="W1352" s="8" t="s">
        <v>306</v>
      </c>
      <c r="X1352" s="8" t="s">
        <v>98</v>
      </c>
      <c r="Y1352" s="8" t="s">
        <v>23</v>
      </c>
    </row>
    <row r="1353" spans="1:25" s="7" customFormat="1" hidden="1" x14ac:dyDescent="0.25">
      <c r="A1353" s="283" t="s">
        <v>726</v>
      </c>
      <c r="B1353" s="260">
        <v>45866</v>
      </c>
      <c r="C1353" s="261" t="s">
        <v>508</v>
      </c>
      <c r="D1353" s="261"/>
      <c r="E1353" s="262">
        <v>459</v>
      </c>
      <c r="F1353" s="262">
        <v>0</v>
      </c>
      <c r="G1353" s="285">
        <f>Tabla3[[#This Row],[INGRESOS]]-Tabla3[[#This Row],[EGRESOS]]</f>
        <v>-459</v>
      </c>
      <c r="H1353" s="285">
        <v>54815108.020000003</v>
      </c>
      <c r="I1353" s="135">
        <v>1170</v>
      </c>
      <c r="J1353" s="136">
        <f>Tabla3[[#This Row],[EGRESOS]]/Tabla3[[#This Row],[TC]]</f>
        <v>0.3923076923076923</v>
      </c>
      <c r="K1353" s="136">
        <f>Tabla3[[#This Row],[INGRESOS]]/Tabla3[[#This Row],[TC]]</f>
        <v>0</v>
      </c>
      <c r="L1353" s="8" t="s">
        <v>303</v>
      </c>
      <c r="M1353" s="8" t="s">
        <v>304</v>
      </c>
      <c r="N1353" s="8" t="s">
        <v>20</v>
      </c>
      <c r="O1353" s="8" t="s">
        <v>184</v>
      </c>
      <c r="P1353" s="8" t="s">
        <v>187</v>
      </c>
      <c r="Q1353" s="8" t="s">
        <v>188</v>
      </c>
      <c r="R1353" s="8" t="s">
        <v>334</v>
      </c>
      <c r="S1353" s="8"/>
      <c r="T1353" s="8"/>
      <c r="U1353" s="8" t="s">
        <v>261</v>
      </c>
      <c r="V1353" s="8"/>
      <c r="W1353" s="8" t="s">
        <v>306</v>
      </c>
      <c r="X1353" s="8" t="s">
        <v>98</v>
      </c>
      <c r="Y1353" s="8" t="s">
        <v>23</v>
      </c>
    </row>
    <row r="1354" spans="1:25" s="7" customFormat="1" hidden="1" x14ac:dyDescent="0.25">
      <c r="A1354" s="283" t="s">
        <v>726</v>
      </c>
      <c r="B1354" s="260">
        <v>45866</v>
      </c>
      <c r="C1354" s="261" t="s">
        <v>580</v>
      </c>
      <c r="D1354" s="261"/>
      <c r="E1354" s="262">
        <v>15300</v>
      </c>
      <c r="F1354" s="262">
        <v>0</v>
      </c>
      <c r="G1354" s="285">
        <f>Tabla3[[#This Row],[INGRESOS]]-Tabla3[[#This Row],[EGRESOS]]</f>
        <v>-15300</v>
      </c>
      <c r="H1354" s="285">
        <v>54799808.020000003</v>
      </c>
      <c r="I1354" s="135">
        <v>1170</v>
      </c>
      <c r="J1354" s="136">
        <f>Tabla3[[#This Row],[EGRESOS]]/Tabla3[[#This Row],[TC]]</f>
        <v>13.076923076923077</v>
      </c>
      <c r="K1354" s="136">
        <f>Tabla3[[#This Row],[INGRESOS]]/Tabla3[[#This Row],[TC]]</f>
        <v>0</v>
      </c>
      <c r="L1354" s="8" t="s">
        <v>303</v>
      </c>
      <c r="M1354" s="8" t="s">
        <v>304</v>
      </c>
      <c r="N1354" s="8" t="s">
        <v>20</v>
      </c>
      <c r="O1354" s="8" t="s">
        <v>184</v>
      </c>
      <c r="P1354" s="8" t="s">
        <v>185</v>
      </c>
      <c r="Q1354" s="8" t="s">
        <v>186</v>
      </c>
      <c r="R1354" s="8"/>
      <c r="S1354" s="8"/>
      <c r="T1354" s="8"/>
      <c r="U1354" s="8" t="s">
        <v>261</v>
      </c>
      <c r="V1354" s="8"/>
      <c r="W1354" s="8" t="s">
        <v>306</v>
      </c>
      <c r="X1354" s="8" t="s">
        <v>98</v>
      </c>
      <c r="Y1354" s="8" t="s">
        <v>23</v>
      </c>
    </row>
    <row r="1355" spans="1:25" s="7" customFormat="1" hidden="1" x14ac:dyDescent="0.25">
      <c r="A1355" s="283" t="s">
        <v>726</v>
      </c>
      <c r="B1355" s="260">
        <v>45866</v>
      </c>
      <c r="C1355" s="261" t="s">
        <v>637</v>
      </c>
      <c r="D1355" s="261"/>
      <c r="E1355" s="262">
        <v>328848</v>
      </c>
      <c r="F1355" s="262">
        <v>0</v>
      </c>
      <c r="G1355" s="285">
        <f>Tabla3[[#This Row],[INGRESOS]]-Tabla3[[#This Row],[EGRESOS]]</f>
        <v>-328848</v>
      </c>
      <c r="H1355" s="285">
        <v>54470960.020000003</v>
      </c>
      <c r="I1355" s="135">
        <v>1170</v>
      </c>
      <c r="J1355" s="136">
        <f>Tabla3[[#This Row],[EGRESOS]]/Tabla3[[#This Row],[TC]]</f>
        <v>281.06666666666666</v>
      </c>
      <c r="K1355" s="136">
        <f>Tabla3[[#This Row],[INGRESOS]]/Tabla3[[#This Row],[TC]]</f>
        <v>0</v>
      </c>
      <c r="L1355" s="8" t="s">
        <v>303</v>
      </c>
      <c r="M1355" s="8" t="s">
        <v>304</v>
      </c>
      <c r="N1355" s="8" t="s">
        <v>20</v>
      </c>
      <c r="O1355" s="8" t="s">
        <v>184</v>
      </c>
      <c r="P1355" s="8" t="s">
        <v>187</v>
      </c>
      <c r="Q1355" s="8" t="s">
        <v>188</v>
      </c>
      <c r="R1355" s="8" t="s">
        <v>317</v>
      </c>
      <c r="S1355" s="8"/>
      <c r="T1355" s="8"/>
      <c r="U1355" s="8" t="s">
        <v>261</v>
      </c>
      <c r="V1355" s="8"/>
      <c r="W1355" s="8" t="s">
        <v>306</v>
      </c>
      <c r="X1355" s="8" t="s">
        <v>98</v>
      </c>
      <c r="Y1355" s="8" t="s">
        <v>23</v>
      </c>
    </row>
    <row r="1356" spans="1:25" s="7" customFormat="1" hidden="1" x14ac:dyDescent="0.25">
      <c r="A1356" s="283" t="s">
        <v>726</v>
      </c>
      <c r="B1356" s="260">
        <v>45866</v>
      </c>
      <c r="C1356" s="261" t="s">
        <v>943</v>
      </c>
      <c r="D1356" s="261"/>
      <c r="E1356" s="262">
        <v>3113.83</v>
      </c>
      <c r="F1356" s="262">
        <v>0</v>
      </c>
      <c r="G1356" s="285">
        <f>Tabla3[[#This Row],[INGRESOS]]-Tabla3[[#This Row],[EGRESOS]]</f>
        <v>-3113.83</v>
      </c>
      <c r="H1356" s="285">
        <v>54467846.189999998</v>
      </c>
      <c r="I1356" s="135">
        <v>1170</v>
      </c>
      <c r="J1356" s="136">
        <f>Tabla3[[#This Row],[EGRESOS]]/Tabla3[[#This Row],[TC]]</f>
        <v>2.6613931623931624</v>
      </c>
      <c r="K1356" s="136">
        <f>Tabla3[[#This Row],[INGRESOS]]/Tabla3[[#This Row],[TC]]</f>
        <v>0</v>
      </c>
      <c r="L1356" s="8" t="s">
        <v>303</v>
      </c>
      <c r="M1356" s="8" t="s">
        <v>304</v>
      </c>
      <c r="N1356" s="8" t="s">
        <v>20</v>
      </c>
      <c r="O1356" s="8" t="s">
        <v>184</v>
      </c>
      <c r="P1356" s="8" t="s">
        <v>187</v>
      </c>
      <c r="Q1356" s="8" t="s">
        <v>188</v>
      </c>
      <c r="R1356" s="8" t="s">
        <v>317</v>
      </c>
      <c r="S1356" s="8"/>
      <c r="T1356" s="8"/>
      <c r="U1356" s="8" t="s">
        <v>261</v>
      </c>
      <c r="V1356" s="8"/>
      <c r="W1356" s="8" t="s">
        <v>306</v>
      </c>
      <c r="X1356" s="8" t="s">
        <v>98</v>
      </c>
      <c r="Y1356" s="8" t="s">
        <v>23</v>
      </c>
    </row>
    <row r="1357" spans="1:25" s="7" customFormat="1" hidden="1" x14ac:dyDescent="0.25">
      <c r="A1357" s="283" t="s">
        <v>726</v>
      </c>
      <c r="B1357" s="260">
        <v>45867</v>
      </c>
      <c r="C1357" s="261" t="s">
        <v>521</v>
      </c>
      <c r="D1357" s="261" t="s">
        <v>1041</v>
      </c>
      <c r="E1357" s="262">
        <v>15000000</v>
      </c>
      <c r="F1357" s="262">
        <v>0</v>
      </c>
      <c r="G1357" s="285">
        <f>Tabla3[[#This Row],[INGRESOS]]-Tabla3[[#This Row],[EGRESOS]]</f>
        <v>-15000000</v>
      </c>
      <c r="H1357" s="285">
        <v>39467846.189999998</v>
      </c>
      <c r="I1357" s="135">
        <v>1170</v>
      </c>
      <c r="J1357" s="136">
        <f>Tabla3[[#This Row],[EGRESOS]]/Tabla3[[#This Row],[TC]]</f>
        <v>12820.51282051282</v>
      </c>
      <c r="K1357" s="136">
        <f>Tabla3[[#This Row],[INGRESOS]]/Tabla3[[#This Row],[TC]]</f>
        <v>0</v>
      </c>
      <c r="L1357" s="8" t="s">
        <v>303</v>
      </c>
      <c r="M1357" s="8" t="s">
        <v>304</v>
      </c>
      <c r="N1357" s="8" t="s">
        <v>20</v>
      </c>
      <c r="O1357" s="8" t="s">
        <v>197</v>
      </c>
      <c r="P1357" s="8" t="s">
        <v>198</v>
      </c>
      <c r="Q1357" s="8" t="s">
        <v>201</v>
      </c>
      <c r="R1357" s="8" t="s">
        <v>947</v>
      </c>
      <c r="S1357" s="8" t="s">
        <v>57</v>
      </c>
      <c r="T1357" s="8"/>
      <c r="U1357" s="8" t="s">
        <v>258</v>
      </c>
      <c r="V1357" s="8"/>
      <c r="W1357" s="8" t="s">
        <v>306</v>
      </c>
      <c r="X1357" s="8" t="s">
        <v>41</v>
      </c>
      <c r="Y1357" s="8" t="s">
        <v>23</v>
      </c>
    </row>
    <row r="1358" spans="1:25" s="7" customFormat="1" hidden="1" x14ac:dyDescent="0.25">
      <c r="A1358" s="283" t="s">
        <v>726</v>
      </c>
      <c r="B1358" s="260">
        <v>45867</v>
      </c>
      <c r="C1358" s="261" t="s">
        <v>521</v>
      </c>
      <c r="D1358" s="261" t="s">
        <v>1040</v>
      </c>
      <c r="E1358" s="262">
        <v>1115931.19</v>
      </c>
      <c r="F1358" s="262">
        <v>0</v>
      </c>
      <c r="G1358" s="285">
        <f>Tabla3[[#This Row],[INGRESOS]]-Tabla3[[#This Row],[EGRESOS]]</f>
        <v>-1115931.19</v>
      </c>
      <c r="H1358" s="285">
        <v>38351915</v>
      </c>
      <c r="I1358" s="135">
        <v>1170</v>
      </c>
      <c r="J1358" s="136">
        <f>Tabla3[[#This Row],[EGRESOS]]/Tabla3[[#This Row],[TC]]</f>
        <v>953.78734188034184</v>
      </c>
      <c r="K1358" s="136">
        <f>Tabla3[[#This Row],[INGRESOS]]/Tabla3[[#This Row],[TC]]</f>
        <v>0</v>
      </c>
      <c r="L1358" s="8" t="s">
        <v>303</v>
      </c>
      <c r="M1358" s="8" t="s">
        <v>304</v>
      </c>
      <c r="N1358" s="8" t="s">
        <v>20</v>
      </c>
      <c r="O1358" s="8" t="s">
        <v>204</v>
      </c>
      <c r="P1358" s="8" t="s">
        <v>210</v>
      </c>
      <c r="Q1358" s="8" t="s">
        <v>230</v>
      </c>
      <c r="R1358" s="8"/>
      <c r="S1358" s="8" t="s">
        <v>469</v>
      </c>
      <c r="T1358" s="8"/>
      <c r="U1358" s="8" t="s">
        <v>258</v>
      </c>
      <c r="V1358" s="8"/>
      <c r="W1358" s="8" t="s">
        <v>306</v>
      </c>
      <c r="X1358" s="8" t="s">
        <v>29</v>
      </c>
      <c r="Y1358" s="8" t="s">
        <v>23</v>
      </c>
    </row>
    <row r="1359" spans="1:25" s="7" customFormat="1" hidden="1" x14ac:dyDescent="0.25">
      <c r="A1359" s="283" t="s">
        <v>726</v>
      </c>
      <c r="B1359" s="260">
        <v>45867</v>
      </c>
      <c r="C1359" s="261" t="s">
        <v>521</v>
      </c>
      <c r="D1359" s="261" t="s">
        <v>1039</v>
      </c>
      <c r="E1359" s="262">
        <v>1607364</v>
      </c>
      <c r="F1359" s="262">
        <v>0</v>
      </c>
      <c r="G1359" s="285">
        <f>Tabla3[[#This Row],[INGRESOS]]-Tabla3[[#This Row],[EGRESOS]]</f>
        <v>-1607364</v>
      </c>
      <c r="H1359" s="285">
        <v>36744551</v>
      </c>
      <c r="I1359" s="135">
        <v>1170</v>
      </c>
      <c r="J1359" s="136">
        <f>Tabla3[[#This Row],[EGRESOS]]/Tabla3[[#This Row],[TC]]</f>
        <v>1373.8153846153846</v>
      </c>
      <c r="K1359" s="136">
        <f>Tabla3[[#This Row],[INGRESOS]]/Tabla3[[#This Row],[TC]]</f>
        <v>0</v>
      </c>
      <c r="L1359" s="8" t="s">
        <v>303</v>
      </c>
      <c r="M1359" s="8" t="s">
        <v>304</v>
      </c>
      <c r="N1359" s="8" t="s">
        <v>20</v>
      </c>
      <c r="O1359" s="8" t="s">
        <v>197</v>
      </c>
      <c r="P1359" s="8" t="s">
        <v>198</v>
      </c>
      <c r="Q1359" s="8" t="s">
        <v>201</v>
      </c>
      <c r="R1359" s="8" t="s">
        <v>736</v>
      </c>
      <c r="S1359" s="8" t="s">
        <v>1042</v>
      </c>
      <c r="T1359" s="8" t="s">
        <v>1043</v>
      </c>
      <c r="U1359" s="8" t="s">
        <v>258</v>
      </c>
      <c r="V1359" s="8"/>
      <c r="W1359" s="8" t="s">
        <v>306</v>
      </c>
      <c r="X1359" s="8" t="s">
        <v>29</v>
      </c>
      <c r="Y1359" s="8" t="s">
        <v>23</v>
      </c>
    </row>
    <row r="1360" spans="1:25" s="7" customFormat="1" x14ac:dyDescent="0.25">
      <c r="A1360" s="283" t="s">
        <v>726</v>
      </c>
      <c r="B1360" s="260">
        <v>45867</v>
      </c>
      <c r="C1360" s="261" t="s">
        <v>561</v>
      </c>
      <c r="D1360" s="261" t="s">
        <v>1038</v>
      </c>
      <c r="E1360" s="262">
        <v>498034.54</v>
      </c>
      <c r="F1360" s="262">
        <v>0</v>
      </c>
      <c r="G1360" s="285">
        <f>Tabla3[[#This Row],[INGRESOS]]-Tabla3[[#This Row],[EGRESOS]]</f>
        <v>-498034.54</v>
      </c>
      <c r="H1360" s="285">
        <v>36246516.460000001</v>
      </c>
      <c r="I1360" s="135">
        <v>1170</v>
      </c>
      <c r="J1360" s="136">
        <f>Tabla3[[#This Row],[EGRESOS]]/Tabla3[[#This Row],[TC]]</f>
        <v>425.67054700854698</v>
      </c>
      <c r="K1360" s="136">
        <f>Tabla3[[#This Row],[INGRESOS]]/Tabla3[[#This Row],[TC]]</f>
        <v>0</v>
      </c>
      <c r="L1360" s="8" t="s">
        <v>303</v>
      </c>
      <c r="M1360" s="8" t="s">
        <v>304</v>
      </c>
      <c r="N1360" s="8" t="s">
        <v>20</v>
      </c>
      <c r="O1360" s="8" t="s">
        <v>742</v>
      </c>
      <c r="P1360" s="8" t="s">
        <v>220</v>
      </c>
      <c r="Q1360" s="8" t="s">
        <v>940</v>
      </c>
      <c r="R1360" s="8" t="s">
        <v>939</v>
      </c>
      <c r="S1360" s="8" t="s">
        <v>938</v>
      </c>
      <c r="T1360" s="8"/>
      <c r="U1360" s="8" t="s">
        <v>258</v>
      </c>
      <c r="V1360" s="8"/>
      <c r="W1360" s="8" t="s">
        <v>306</v>
      </c>
      <c r="X1360" s="8" t="s">
        <v>29</v>
      </c>
      <c r="Y1360" s="8" t="s">
        <v>23</v>
      </c>
    </row>
    <row r="1361" spans="1:25" s="7" customFormat="1" hidden="1" x14ac:dyDescent="0.25">
      <c r="A1361" s="283" t="s">
        <v>726</v>
      </c>
      <c r="B1361" s="260">
        <v>45867</v>
      </c>
      <c r="C1361" s="261" t="s">
        <v>1046</v>
      </c>
      <c r="D1361" s="261"/>
      <c r="E1361" s="262">
        <v>0</v>
      </c>
      <c r="F1361" s="262">
        <v>9043719.0899999999</v>
      </c>
      <c r="G1361" s="285">
        <f>Tabla3[[#This Row],[INGRESOS]]-Tabla3[[#This Row],[EGRESOS]]</f>
        <v>9043719.0899999999</v>
      </c>
      <c r="H1361" s="285">
        <v>45290235.549999997</v>
      </c>
      <c r="I1361" s="135">
        <v>1170</v>
      </c>
      <c r="J1361" s="136">
        <f>Tabla3[[#This Row],[EGRESOS]]/Tabla3[[#This Row],[TC]]</f>
        <v>0</v>
      </c>
      <c r="K1361" s="136">
        <f>Tabla3[[#This Row],[INGRESOS]]/Tabla3[[#This Row],[TC]]</f>
        <v>7729.6744358974356</v>
      </c>
      <c r="L1361" s="8" t="s">
        <v>303</v>
      </c>
      <c r="M1361" s="8" t="s">
        <v>304</v>
      </c>
      <c r="N1361" s="8" t="s">
        <v>20</v>
      </c>
      <c r="O1361" s="8" t="s">
        <v>214</v>
      </c>
      <c r="P1361" s="8" t="s">
        <v>60</v>
      </c>
      <c r="Q1361" s="8" t="s">
        <v>856</v>
      </c>
      <c r="R1361" s="8" t="s">
        <v>845</v>
      </c>
      <c r="S1361" s="8" t="s">
        <v>846</v>
      </c>
      <c r="T1361" s="8"/>
      <c r="U1361" s="8" t="s">
        <v>847</v>
      </c>
      <c r="V1361" s="8"/>
      <c r="W1361" s="8" t="s">
        <v>306</v>
      </c>
      <c r="X1361" s="8" t="s">
        <v>23</v>
      </c>
      <c r="Y1361" s="8" t="s">
        <v>60</v>
      </c>
    </row>
    <row r="1362" spans="1:25" s="7" customFormat="1" hidden="1" x14ac:dyDescent="0.25">
      <c r="A1362" s="283" t="s">
        <v>726</v>
      </c>
      <c r="B1362" s="260">
        <v>45867</v>
      </c>
      <c r="C1362" s="261" t="s">
        <v>542</v>
      </c>
      <c r="D1362" s="261"/>
      <c r="E1362" s="262">
        <v>30022519.050000001</v>
      </c>
      <c r="F1362" s="262">
        <v>0</v>
      </c>
      <c r="G1362" s="285">
        <f>Tabla3[[#This Row],[INGRESOS]]-Tabla3[[#This Row],[EGRESOS]]</f>
        <v>-30022519.050000001</v>
      </c>
      <c r="H1362" s="285">
        <v>15267716.5</v>
      </c>
      <c r="I1362" s="135">
        <v>1170</v>
      </c>
      <c r="J1362" s="136">
        <f>Tabla3[[#This Row],[EGRESOS]]/Tabla3[[#This Row],[TC]]</f>
        <v>25660.272692307692</v>
      </c>
      <c r="K1362" s="136">
        <f>Tabla3[[#This Row],[INGRESOS]]/Tabla3[[#This Row],[TC]]</f>
        <v>0</v>
      </c>
      <c r="L1362" s="8" t="s">
        <v>303</v>
      </c>
      <c r="M1362" s="8" t="s">
        <v>304</v>
      </c>
      <c r="N1362" s="8" t="s">
        <v>20</v>
      </c>
      <c r="O1362" s="8" t="s">
        <v>742</v>
      </c>
      <c r="P1362" s="8" t="s">
        <v>1070</v>
      </c>
      <c r="Q1362" s="8" t="s">
        <v>1047</v>
      </c>
      <c r="S1362" s="8" t="s">
        <v>966</v>
      </c>
      <c r="T1362" s="8"/>
      <c r="U1362" s="8" t="s">
        <v>929</v>
      </c>
      <c r="V1362" s="8"/>
      <c r="W1362" s="8" t="s">
        <v>306</v>
      </c>
      <c r="X1362" s="8" t="s">
        <v>98</v>
      </c>
      <c r="Y1362" s="8" t="s">
        <v>23</v>
      </c>
    </row>
    <row r="1363" spans="1:25" s="7" customFormat="1" hidden="1" x14ac:dyDescent="0.25">
      <c r="A1363" s="283" t="s">
        <v>726</v>
      </c>
      <c r="B1363" s="260">
        <v>45867</v>
      </c>
      <c r="C1363" s="261" t="s">
        <v>571</v>
      </c>
      <c r="D1363" s="261"/>
      <c r="E1363" s="262">
        <v>121</v>
      </c>
      <c r="F1363" s="262">
        <v>0</v>
      </c>
      <c r="G1363" s="285">
        <f>Tabla3[[#This Row],[INGRESOS]]-Tabla3[[#This Row],[EGRESOS]]</f>
        <v>-121</v>
      </c>
      <c r="H1363" s="285">
        <v>15267595.5</v>
      </c>
      <c r="I1363" s="135">
        <v>1170</v>
      </c>
      <c r="J1363" s="136">
        <f>Tabla3[[#This Row],[EGRESOS]]/Tabla3[[#This Row],[TC]]</f>
        <v>0.10341880341880341</v>
      </c>
      <c r="K1363" s="136">
        <f>Tabla3[[#This Row],[INGRESOS]]/Tabla3[[#This Row],[TC]]</f>
        <v>0</v>
      </c>
      <c r="L1363" s="8" t="s">
        <v>303</v>
      </c>
      <c r="M1363" s="8" t="s">
        <v>304</v>
      </c>
      <c r="N1363" s="8" t="s">
        <v>20</v>
      </c>
      <c r="O1363" s="8" t="s">
        <v>184</v>
      </c>
      <c r="P1363" s="8" t="s">
        <v>185</v>
      </c>
      <c r="Q1363" s="8" t="s">
        <v>186</v>
      </c>
      <c r="R1363" s="8"/>
      <c r="S1363" s="8"/>
      <c r="T1363" s="8"/>
      <c r="U1363" s="8" t="s">
        <v>261</v>
      </c>
      <c r="V1363" s="8"/>
      <c r="W1363" s="8" t="s">
        <v>306</v>
      </c>
      <c r="X1363" s="8" t="s">
        <v>98</v>
      </c>
      <c r="Y1363" s="8" t="s">
        <v>23</v>
      </c>
    </row>
    <row r="1364" spans="1:25" s="7" customFormat="1" hidden="1" x14ac:dyDescent="0.25">
      <c r="A1364" s="283" t="s">
        <v>726</v>
      </c>
      <c r="B1364" s="260">
        <v>45867</v>
      </c>
      <c r="C1364" s="261" t="s">
        <v>553</v>
      </c>
      <c r="D1364" s="261"/>
      <c r="E1364" s="262">
        <v>0</v>
      </c>
      <c r="F1364" s="262">
        <v>4000000</v>
      </c>
      <c r="G1364" s="285">
        <f>Tabla3[[#This Row],[INGRESOS]]-Tabla3[[#This Row],[EGRESOS]]</f>
        <v>4000000</v>
      </c>
      <c r="H1364" s="285">
        <v>19267595.5</v>
      </c>
      <c r="I1364" s="135">
        <v>1170</v>
      </c>
      <c r="J1364" s="136">
        <f>Tabla3[[#This Row],[EGRESOS]]/Tabla3[[#This Row],[TC]]</f>
        <v>0</v>
      </c>
      <c r="K1364" s="136">
        <f>Tabla3[[#This Row],[INGRESOS]]/Tabla3[[#This Row],[TC]]</f>
        <v>3418.8034188034189</v>
      </c>
      <c r="L1364" s="8" t="s">
        <v>303</v>
      </c>
      <c r="M1364" s="8" t="s">
        <v>304</v>
      </c>
      <c r="N1364" s="8" t="s">
        <v>20</v>
      </c>
      <c r="O1364" s="8" t="s">
        <v>214</v>
      </c>
      <c r="P1364" s="8" t="s">
        <v>216</v>
      </c>
      <c r="Q1364" s="8" t="s">
        <v>217</v>
      </c>
      <c r="R1364" s="8" t="s">
        <v>686</v>
      </c>
      <c r="S1364" s="8"/>
      <c r="T1364" s="8"/>
      <c r="U1364" s="8" t="s">
        <v>262</v>
      </c>
      <c r="V1364" s="8"/>
      <c r="W1364" s="8" t="s">
        <v>306</v>
      </c>
      <c r="X1364" s="8"/>
      <c r="Y1364" s="8"/>
    </row>
    <row r="1365" spans="1:25" s="7" customFormat="1" hidden="1" x14ac:dyDescent="0.25">
      <c r="A1365" s="283" t="s">
        <v>726</v>
      </c>
      <c r="B1365" s="260">
        <v>45867</v>
      </c>
      <c r="C1365" s="261" t="s">
        <v>542</v>
      </c>
      <c r="D1365" s="261"/>
      <c r="E1365" s="262">
        <v>24319448.5</v>
      </c>
      <c r="F1365" s="262">
        <v>0</v>
      </c>
      <c r="G1365" s="285">
        <f>Tabla3[[#This Row],[INGRESOS]]-Tabla3[[#This Row],[EGRESOS]]</f>
        <v>-24319448.5</v>
      </c>
      <c r="H1365" s="285">
        <v>-5051853</v>
      </c>
      <c r="I1365" s="135">
        <v>1170</v>
      </c>
      <c r="J1365" s="136">
        <f>Tabla3[[#This Row],[EGRESOS]]/Tabla3[[#This Row],[TC]]</f>
        <v>20785.853418803417</v>
      </c>
      <c r="K1365" s="136">
        <f>Tabla3[[#This Row],[INGRESOS]]/Tabla3[[#This Row],[TC]]</f>
        <v>0</v>
      </c>
      <c r="L1365" s="8" t="s">
        <v>303</v>
      </c>
      <c r="M1365" s="8" t="s">
        <v>304</v>
      </c>
      <c r="N1365" s="8" t="s">
        <v>20</v>
      </c>
      <c r="O1365" s="8" t="s">
        <v>742</v>
      </c>
      <c r="P1365" s="8" t="s">
        <v>1070</v>
      </c>
      <c r="Q1365" s="8" t="s">
        <v>1048</v>
      </c>
      <c r="R1365" s="8"/>
      <c r="S1365" s="8" t="s">
        <v>966</v>
      </c>
      <c r="T1365" s="8"/>
      <c r="U1365" s="8" t="s">
        <v>929</v>
      </c>
      <c r="V1365" s="8"/>
      <c r="W1365" s="8" t="s">
        <v>306</v>
      </c>
      <c r="X1365" s="8" t="s">
        <v>98</v>
      </c>
      <c r="Y1365" s="8" t="s">
        <v>23</v>
      </c>
    </row>
    <row r="1366" spans="1:25" s="7" customFormat="1" hidden="1" x14ac:dyDescent="0.25">
      <c r="A1366" s="283" t="s">
        <v>726</v>
      </c>
      <c r="B1366" s="260">
        <v>45867</v>
      </c>
      <c r="C1366" s="261" t="s">
        <v>571</v>
      </c>
      <c r="D1366" s="261"/>
      <c r="E1366" s="262">
        <v>121</v>
      </c>
      <c r="F1366" s="262">
        <v>0</v>
      </c>
      <c r="G1366" s="285">
        <f>Tabla3[[#This Row],[INGRESOS]]-Tabla3[[#This Row],[EGRESOS]]</f>
        <v>-121</v>
      </c>
      <c r="H1366" s="285">
        <v>-5051974</v>
      </c>
      <c r="I1366" s="135">
        <v>1170</v>
      </c>
      <c r="J1366" s="136">
        <f>Tabla3[[#This Row],[EGRESOS]]/Tabla3[[#This Row],[TC]]</f>
        <v>0.10341880341880341</v>
      </c>
      <c r="K1366" s="136">
        <f>Tabla3[[#This Row],[INGRESOS]]/Tabla3[[#This Row],[TC]]</f>
        <v>0</v>
      </c>
      <c r="L1366" s="8" t="s">
        <v>303</v>
      </c>
      <c r="M1366" s="8" t="s">
        <v>304</v>
      </c>
      <c r="N1366" s="8" t="s">
        <v>20</v>
      </c>
      <c r="O1366" s="8" t="s">
        <v>184</v>
      </c>
      <c r="P1366" s="8" t="s">
        <v>185</v>
      </c>
      <c r="Q1366" s="8" t="s">
        <v>186</v>
      </c>
      <c r="R1366" s="8"/>
      <c r="S1366" s="8"/>
      <c r="T1366" s="8"/>
      <c r="U1366" s="8" t="s">
        <v>261</v>
      </c>
      <c r="V1366" s="8"/>
      <c r="W1366" s="8" t="s">
        <v>306</v>
      </c>
      <c r="X1366" s="8" t="s">
        <v>98</v>
      </c>
      <c r="Y1366" s="8" t="s">
        <v>23</v>
      </c>
    </row>
    <row r="1367" spans="1:25" s="7" customFormat="1" hidden="1" x14ac:dyDescent="0.25">
      <c r="A1367" s="283" t="s">
        <v>726</v>
      </c>
      <c r="B1367" s="260">
        <v>45867</v>
      </c>
      <c r="C1367" s="261" t="s">
        <v>542</v>
      </c>
      <c r="D1367" s="261"/>
      <c r="E1367" s="262">
        <v>280000</v>
      </c>
      <c r="F1367" s="262">
        <v>0</v>
      </c>
      <c r="G1367" s="285">
        <f>Tabla3[[#This Row],[INGRESOS]]-Tabla3[[#This Row],[EGRESOS]]</f>
        <v>-280000</v>
      </c>
      <c r="H1367" s="285">
        <v>-5331974</v>
      </c>
      <c r="I1367" s="135">
        <v>1170</v>
      </c>
      <c r="J1367" s="136">
        <f>Tabla3[[#This Row],[EGRESOS]]/Tabla3[[#This Row],[TC]]</f>
        <v>239.31623931623932</v>
      </c>
      <c r="K1367" s="136">
        <f>Tabla3[[#This Row],[INGRESOS]]/Tabla3[[#This Row],[TC]]</f>
        <v>0</v>
      </c>
      <c r="L1367" s="8" t="s">
        <v>303</v>
      </c>
      <c r="M1367" s="8" t="s">
        <v>304</v>
      </c>
      <c r="N1367" s="8" t="s">
        <v>20</v>
      </c>
      <c r="O1367" s="8" t="s">
        <v>184</v>
      </c>
      <c r="P1367" s="8" t="s">
        <v>194</v>
      </c>
      <c r="Q1367" s="8" t="s">
        <v>196</v>
      </c>
      <c r="R1367" s="8" t="s">
        <v>975</v>
      </c>
      <c r="S1367" s="8" t="s">
        <v>331</v>
      </c>
      <c r="T1367" s="8"/>
      <c r="U1367" s="8" t="s">
        <v>267</v>
      </c>
      <c r="V1367" s="8" t="s">
        <v>332</v>
      </c>
      <c r="W1367" s="8" t="s">
        <v>306</v>
      </c>
      <c r="X1367" s="8" t="s">
        <v>101</v>
      </c>
      <c r="Y1367" s="8" t="s">
        <v>23</v>
      </c>
    </row>
    <row r="1368" spans="1:25" s="7" customFormat="1" hidden="1" x14ac:dyDescent="0.25">
      <c r="A1368" s="283" t="s">
        <v>726</v>
      </c>
      <c r="B1368" s="260">
        <v>45867</v>
      </c>
      <c r="C1368" s="261" t="s">
        <v>571</v>
      </c>
      <c r="D1368" s="261"/>
      <c r="E1368" s="262">
        <v>18.149999999999999</v>
      </c>
      <c r="F1368" s="262">
        <v>0</v>
      </c>
      <c r="G1368" s="285">
        <f>Tabla3[[#This Row],[INGRESOS]]-Tabla3[[#This Row],[EGRESOS]]</f>
        <v>-18.149999999999999</v>
      </c>
      <c r="H1368" s="285">
        <v>-5331992.1500000004</v>
      </c>
      <c r="I1368" s="135">
        <v>1170</v>
      </c>
      <c r="J1368" s="136">
        <f>Tabla3[[#This Row],[EGRESOS]]/Tabla3[[#This Row],[TC]]</f>
        <v>1.5512820512820512E-2</v>
      </c>
      <c r="K1368" s="136">
        <f>Tabla3[[#This Row],[INGRESOS]]/Tabla3[[#This Row],[TC]]</f>
        <v>0</v>
      </c>
      <c r="L1368" s="8" t="s">
        <v>303</v>
      </c>
      <c r="M1368" s="8" t="s">
        <v>304</v>
      </c>
      <c r="N1368" s="8" t="s">
        <v>20</v>
      </c>
      <c r="O1368" s="8" t="s">
        <v>184</v>
      </c>
      <c r="P1368" s="8" t="s">
        <v>185</v>
      </c>
      <c r="Q1368" s="8" t="s">
        <v>186</v>
      </c>
      <c r="R1368" s="8"/>
      <c r="S1368" s="8"/>
      <c r="T1368" s="8"/>
      <c r="U1368" s="8" t="s">
        <v>261</v>
      </c>
      <c r="V1368" s="8"/>
      <c r="W1368" s="8" t="s">
        <v>306</v>
      </c>
      <c r="X1368" s="8" t="s">
        <v>98</v>
      </c>
      <c r="Y1368" s="8" t="s">
        <v>23</v>
      </c>
    </row>
    <row r="1369" spans="1:25" s="7" customFormat="1" hidden="1" x14ac:dyDescent="0.25">
      <c r="A1369" s="283" t="s">
        <v>726</v>
      </c>
      <c r="B1369" s="260">
        <v>45867</v>
      </c>
      <c r="C1369" s="261" t="s">
        <v>943</v>
      </c>
      <c r="D1369" s="261"/>
      <c r="E1369" s="262">
        <v>437061.35</v>
      </c>
      <c r="F1369" s="262">
        <v>0</v>
      </c>
      <c r="G1369" s="285">
        <f>Tabla3[[#This Row],[INGRESOS]]-Tabla3[[#This Row],[EGRESOS]]</f>
        <v>-437061.35</v>
      </c>
      <c r="H1369" s="285">
        <v>-5769053.5</v>
      </c>
      <c r="I1369" s="135">
        <v>1290</v>
      </c>
      <c r="J1369" s="136">
        <f>Tabla3[[#This Row],[EGRESOS]]/Tabla3[[#This Row],[TC]]</f>
        <v>338.8072480620155</v>
      </c>
      <c r="K1369" s="136">
        <f>Tabla3[[#This Row],[INGRESOS]]/Tabla3[[#This Row],[TC]]</f>
        <v>0</v>
      </c>
      <c r="L1369" s="8" t="s">
        <v>303</v>
      </c>
      <c r="M1369" s="8" t="s">
        <v>304</v>
      </c>
      <c r="N1369" s="8" t="s">
        <v>20</v>
      </c>
      <c r="O1369" s="8" t="s">
        <v>184</v>
      </c>
      <c r="P1369" s="8" t="s">
        <v>187</v>
      </c>
      <c r="Q1369" s="8" t="s">
        <v>188</v>
      </c>
      <c r="R1369" s="8" t="s">
        <v>317</v>
      </c>
      <c r="S1369" s="8"/>
      <c r="T1369" s="8"/>
      <c r="U1369" s="8" t="s">
        <v>261</v>
      </c>
      <c r="V1369" s="8"/>
      <c r="W1369" s="8" t="s">
        <v>306</v>
      </c>
      <c r="X1369" s="8" t="s">
        <v>98</v>
      </c>
      <c r="Y1369" s="8" t="s">
        <v>23</v>
      </c>
    </row>
    <row r="1370" spans="1:25" s="7" customFormat="1" hidden="1" x14ac:dyDescent="0.25">
      <c r="A1370" s="283" t="s">
        <v>726</v>
      </c>
      <c r="B1370" s="260">
        <v>45868</v>
      </c>
      <c r="C1370" s="261" t="s">
        <v>521</v>
      </c>
      <c r="D1370" s="261" t="s">
        <v>1045</v>
      </c>
      <c r="E1370" s="262">
        <v>1692306</v>
      </c>
      <c r="F1370" s="262">
        <v>0</v>
      </c>
      <c r="G1370" s="285">
        <f>Tabla3[[#This Row],[INGRESOS]]-Tabla3[[#This Row],[EGRESOS]]</f>
        <v>-1692306</v>
      </c>
      <c r="H1370" s="285">
        <v>-7461359.5</v>
      </c>
      <c r="I1370" s="135">
        <v>1290</v>
      </c>
      <c r="J1370" s="136">
        <f>Tabla3[[#This Row],[EGRESOS]]/Tabla3[[#This Row],[TC]]</f>
        <v>1311.8651162790698</v>
      </c>
      <c r="K1370" s="136">
        <f>Tabla3[[#This Row],[INGRESOS]]/Tabla3[[#This Row],[TC]]</f>
        <v>0</v>
      </c>
      <c r="L1370" s="8" t="s">
        <v>303</v>
      </c>
      <c r="M1370" s="8" t="s">
        <v>304</v>
      </c>
      <c r="N1370" s="8" t="s">
        <v>20</v>
      </c>
      <c r="O1370" s="8" t="s">
        <v>197</v>
      </c>
      <c r="P1370" s="8" t="s">
        <v>198</v>
      </c>
      <c r="Q1370" s="8" t="s">
        <v>201</v>
      </c>
      <c r="R1370" s="8" t="s">
        <v>736</v>
      </c>
      <c r="S1370" s="8" t="s">
        <v>1050</v>
      </c>
      <c r="T1370" s="8" t="s">
        <v>1049</v>
      </c>
      <c r="U1370" s="8" t="s">
        <v>258</v>
      </c>
      <c r="V1370" s="8"/>
      <c r="W1370" s="8" t="s">
        <v>306</v>
      </c>
      <c r="X1370" s="8" t="s">
        <v>29</v>
      </c>
      <c r="Y1370" s="8" t="s">
        <v>23</v>
      </c>
    </row>
    <row r="1371" spans="1:25" s="7" customFormat="1" hidden="1" x14ac:dyDescent="0.25">
      <c r="A1371" s="283" t="s">
        <v>726</v>
      </c>
      <c r="B1371" s="260">
        <v>45868</v>
      </c>
      <c r="C1371" s="261" t="s">
        <v>553</v>
      </c>
      <c r="D1371" s="261"/>
      <c r="E1371" s="262">
        <v>0</v>
      </c>
      <c r="F1371" s="262">
        <v>1500000</v>
      </c>
      <c r="G1371" s="285">
        <f>Tabla3[[#This Row],[INGRESOS]]-Tabla3[[#This Row],[EGRESOS]]</f>
        <v>1500000</v>
      </c>
      <c r="H1371" s="285">
        <v>-5961359.5</v>
      </c>
      <c r="I1371" s="135">
        <v>1290</v>
      </c>
      <c r="J1371" s="136">
        <f>Tabla3[[#This Row],[EGRESOS]]/Tabla3[[#This Row],[TC]]</f>
        <v>0</v>
      </c>
      <c r="K1371" s="136">
        <f>Tabla3[[#This Row],[INGRESOS]]/Tabla3[[#This Row],[TC]]</f>
        <v>1162.7906976744187</v>
      </c>
      <c r="L1371" s="8" t="s">
        <v>303</v>
      </c>
      <c r="M1371" s="8" t="s">
        <v>304</v>
      </c>
      <c r="N1371" s="8" t="s">
        <v>20</v>
      </c>
      <c r="O1371" s="8" t="s">
        <v>214</v>
      </c>
      <c r="P1371" s="8" t="s">
        <v>216</v>
      </c>
      <c r="Q1371" s="8" t="s">
        <v>217</v>
      </c>
      <c r="R1371" s="8" t="s">
        <v>360</v>
      </c>
      <c r="S1371" s="8"/>
      <c r="T1371" s="8"/>
      <c r="U1371" s="8" t="s">
        <v>262</v>
      </c>
      <c r="V1371" s="8"/>
      <c r="W1371" s="8" t="s">
        <v>306</v>
      </c>
      <c r="X1371" s="8"/>
      <c r="Y1371" s="8"/>
    </row>
    <row r="1372" spans="1:25" s="7" customFormat="1" hidden="1" x14ac:dyDescent="0.25">
      <c r="A1372" s="283" t="s">
        <v>726</v>
      </c>
      <c r="B1372" s="260">
        <v>45868</v>
      </c>
      <c r="C1372" s="261" t="s">
        <v>507</v>
      </c>
      <c r="D1372" s="261"/>
      <c r="E1372" s="262">
        <v>3276</v>
      </c>
      <c r="F1372" s="262">
        <v>0</v>
      </c>
      <c r="G1372" s="285">
        <f>Tabla3[[#This Row],[INGRESOS]]-Tabla3[[#This Row],[EGRESOS]]</f>
        <v>-3276</v>
      </c>
      <c r="H1372" s="285">
        <v>-5964635.5</v>
      </c>
      <c r="I1372" s="135">
        <v>1290</v>
      </c>
      <c r="J1372" s="136">
        <f>Tabla3[[#This Row],[EGRESOS]]/Tabla3[[#This Row],[TC]]</f>
        <v>2.5395348837209304</v>
      </c>
      <c r="K1372" s="136">
        <f>Tabla3[[#This Row],[INGRESOS]]/Tabla3[[#This Row],[TC]]</f>
        <v>0</v>
      </c>
      <c r="L1372" s="8" t="s">
        <v>303</v>
      </c>
      <c r="M1372" s="8" t="s">
        <v>304</v>
      </c>
      <c r="N1372" s="8" t="s">
        <v>20</v>
      </c>
      <c r="O1372" s="8" t="s">
        <v>184</v>
      </c>
      <c r="P1372" s="8" t="s">
        <v>187</v>
      </c>
      <c r="Q1372" s="8" t="s">
        <v>188</v>
      </c>
      <c r="R1372" s="8" t="s">
        <v>308</v>
      </c>
      <c r="S1372" s="8"/>
      <c r="T1372" s="8"/>
      <c r="U1372" s="8" t="s">
        <v>261</v>
      </c>
      <c r="V1372" s="8"/>
      <c r="W1372" s="8" t="s">
        <v>306</v>
      </c>
      <c r="X1372" s="8" t="s">
        <v>98</v>
      </c>
      <c r="Y1372" s="8" t="s">
        <v>23</v>
      </c>
    </row>
    <row r="1373" spans="1:25" s="7" customFormat="1" hidden="1" x14ac:dyDescent="0.25">
      <c r="A1373" s="283" t="s">
        <v>726</v>
      </c>
      <c r="B1373" s="260">
        <v>45868</v>
      </c>
      <c r="C1373" s="261" t="s">
        <v>508</v>
      </c>
      <c r="D1373" s="261"/>
      <c r="E1373" s="262">
        <v>468</v>
      </c>
      <c r="F1373" s="262">
        <v>0</v>
      </c>
      <c r="G1373" s="285">
        <f>Tabla3[[#This Row],[INGRESOS]]-Tabla3[[#This Row],[EGRESOS]]</f>
        <v>-468</v>
      </c>
      <c r="H1373" s="285">
        <v>-5965103.5</v>
      </c>
      <c r="I1373" s="135">
        <v>1290</v>
      </c>
      <c r="J1373" s="136">
        <f>Tabla3[[#This Row],[EGRESOS]]/Tabla3[[#This Row],[TC]]</f>
        <v>0.36279069767441863</v>
      </c>
      <c r="K1373" s="136">
        <f>Tabla3[[#This Row],[INGRESOS]]/Tabla3[[#This Row],[TC]]</f>
        <v>0</v>
      </c>
      <c r="L1373" s="8" t="s">
        <v>303</v>
      </c>
      <c r="M1373" s="8" t="s">
        <v>304</v>
      </c>
      <c r="N1373" s="8" t="s">
        <v>20</v>
      </c>
      <c r="O1373" s="8" t="s">
        <v>184</v>
      </c>
      <c r="P1373" s="8" t="s">
        <v>187</v>
      </c>
      <c r="Q1373" s="8" t="s">
        <v>188</v>
      </c>
      <c r="R1373" s="8" t="s">
        <v>334</v>
      </c>
      <c r="S1373" s="8"/>
      <c r="T1373" s="8"/>
      <c r="U1373" s="8" t="s">
        <v>261</v>
      </c>
      <c r="V1373" s="8"/>
      <c r="W1373" s="8" t="s">
        <v>306</v>
      </c>
      <c r="X1373" s="8" t="s">
        <v>98</v>
      </c>
      <c r="Y1373" s="8" t="s">
        <v>23</v>
      </c>
    </row>
    <row r="1374" spans="1:25" s="7" customFormat="1" hidden="1" x14ac:dyDescent="0.25">
      <c r="A1374" s="283" t="s">
        <v>726</v>
      </c>
      <c r="B1374" s="260">
        <v>45868</v>
      </c>
      <c r="C1374" s="261" t="s">
        <v>536</v>
      </c>
      <c r="D1374" s="261"/>
      <c r="E1374" s="262">
        <v>15600</v>
      </c>
      <c r="F1374" s="262">
        <v>0</v>
      </c>
      <c r="G1374" s="285">
        <f>Tabla3[[#This Row],[INGRESOS]]-Tabla3[[#This Row],[EGRESOS]]</f>
        <v>-15600</v>
      </c>
      <c r="H1374" s="285">
        <v>-5980703.5</v>
      </c>
      <c r="I1374" s="135">
        <v>1290</v>
      </c>
      <c r="J1374" s="136">
        <f>Tabla3[[#This Row],[EGRESOS]]/Tabla3[[#This Row],[TC]]</f>
        <v>12.093023255813954</v>
      </c>
      <c r="K1374" s="136">
        <f>Tabla3[[#This Row],[INGRESOS]]/Tabla3[[#This Row],[TC]]</f>
        <v>0</v>
      </c>
      <c r="L1374" s="8" t="s">
        <v>303</v>
      </c>
      <c r="M1374" s="8" t="s">
        <v>304</v>
      </c>
      <c r="N1374" s="8" t="s">
        <v>20</v>
      </c>
      <c r="O1374" s="8" t="s">
        <v>184</v>
      </c>
      <c r="P1374" s="8" t="s">
        <v>185</v>
      </c>
      <c r="Q1374" s="8" t="s">
        <v>186</v>
      </c>
      <c r="R1374" s="8"/>
      <c r="S1374" s="8"/>
      <c r="T1374" s="8"/>
      <c r="U1374" s="8" t="s">
        <v>261</v>
      </c>
      <c r="V1374" s="8"/>
      <c r="W1374" s="8" t="s">
        <v>306</v>
      </c>
      <c r="X1374" s="8" t="s">
        <v>98</v>
      </c>
      <c r="Y1374" s="8" t="s">
        <v>23</v>
      </c>
    </row>
    <row r="1375" spans="1:25" s="7" customFormat="1" hidden="1" x14ac:dyDescent="0.25">
      <c r="A1375" s="283" t="s">
        <v>726</v>
      </c>
      <c r="B1375" s="260">
        <v>45868</v>
      </c>
      <c r="C1375" s="261" t="s">
        <v>943</v>
      </c>
      <c r="D1375" s="261"/>
      <c r="E1375" s="262">
        <v>10269.9</v>
      </c>
      <c r="F1375" s="262">
        <v>0</v>
      </c>
      <c r="G1375" s="285">
        <f>Tabla3[[#This Row],[INGRESOS]]-Tabla3[[#This Row],[EGRESOS]]</f>
        <v>-10269.9</v>
      </c>
      <c r="H1375" s="285">
        <v>-5990973.4000000004</v>
      </c>
      <c r="I1375" s="135">
        <v>1290</v>
      </c>
      <c r="J1375" s="136">
        <f>Tabla3[[#This Row],[EGRESOS]]/Tabla3[[#This Row],[TC]]</f>
        <v>7.9611627906976743</v>
      </c>
      <c r="K1375" s="136">
        <f>Tabla3[[#This Row],[INGRESOS]]/Tabla3[[#This Row],[TC]]</f>
        <v>0</v>
      </c>
      <c r="L1375" s="8" t="s">
        <v>303</v>
      </c>
      <c r="M1375" s="8" t="s">
        <v>304</v>
      </c>
      <c r="N1375" s="8" t="s">
        <v>20</v>
      </c>
      <c r="O1375" s="8" t="s">
        <v>184</v>
      </c>
      <c r="P1375" s="8" t="s">
        <v>187</v>
      </c>
      <c r="Q1375" s="8" t="s">
        <v>188</v>
      </c>
      <c r="R1375" s="8" t="s">
        <v>317</v>
      </c>
      <c r="S1375" s="8"/>
      <c r="T1375" s="8"/>
      <c r="U1375" s="8" t="s">
        <v>261</v>
      </c>
      <c r="V1375" s="8"/>
      <c r="W1375" s="8" t="s">
        <v>306</v>
      </c>
      <c r="X1375" s="8" t="s">
        <v>98</v>
      </c>
      <c r="Y1375" s="8" t="s">
        <v>23</v>
      </c>
    </row>
    <row r="1376" spans="1:25" s="7" customFormat="1" hidden="1" x14ac:dyDescent="0.25">
      <c r="A1376" s="283" t="s">
        <v>726</v>
      </c>
      <c r="B1376" s="260">
        <v>45868</v>
      </c>
      <c r="C1376" s="261" t="s">
        <v>537</v>
      </c>
      <c r="D1376" s="261"/>
      <c r="E1376" s="262">
        <v>61628</v>
      </c>
      <c r="F1376" s="262">
        <v>0</v>
      </c>
      <c r="G1376" s="285">
        <f>Tabla3[[#This Row],[INGRESOS]]-Tabla3[[#This Row],[EGRESOS]]</f>
        <v>-61628</v>
      </c>
      <c r="H1376" s="285">
        <v>-6052601.4000000004</v>
      </c>
      <c r="I1376" s="135">
        <v>1290</v>
      </c>
      <c r="J1376" s="136">
        <f>Tabla3[[#This Row],[EGRESOS]]/Tabla3[[#This Row],[TC]]</f>
        <v>47.773643410852713</v>
      </c>
      <c r="K1376" s="136">
        <f>Tabla3[[#This Row],[INGRESOS]]/Tabla3[[#This Row],[TC]]</f>
        <v>0</v>
      </c>
      <c r="L1376" s="8" t="s">
        <v>303</v>
      </c>
      <c r="M1376" s="8" t="s">
        <v>304</v>
      </c>
      <c r="N1376" s="8" t="s">
        <v>20</v>
      </c>
      <c r="O1376" s="8" t="s">
        <v>214</v>
      </c>
      <c r="P1376" s="8" t="s">
        <v>216</v>
      </c>
      <c r="Q1376" s="8" t="s">
        <v>217</v>
      </c>
      <c r="R1376" s="8" t="s">
        <v>305</v>
      </c>
      <c r="S1376" s="8"/>
      <c r="T1376" s="8"/>
      <c r="U1376" s="8" t="s">
        <v>262</v>
      </c>
      <c r="V1376" s="8"/>
      <c r="W1376" s="8" t="s">
        <v>306</v>
      </c>
      <c r="X1376" s="8"/>
      <c r="Y1376" s="8"/>
    </row>
    <row r="1377" spans="1:25" s="7" customFormat="1" hidden="1" x14ac:dyDescent="0.25">
      <c r="A1377" s="283" t="s">
        <v>726</v>
      </c>
      <c r="B1377" s="260">
        <v>45869</v>
      </c>
      <c r="C1377" s="261" t="s">
        <v>521</v>
      </c>
      <c r="D1377" s="261" t="s">
        <v>1052</v>
      </c>
      <c r="E1377" s="262">
        <v>1682505</v>
      </c>
      <c r="F1377" s="262">
        <v>0</v>
      </c>
      <c r="G1377" s="285">
        <f>Tabla3[[#This Row],[INGRESOS]]-Tabla3[[#This Row],[EGRESOS]]</f>
        <v>-1682505</v>
      </c>
      <c r="H1377" s="285">
        <v>-7735106.4000000004</v>
      </c>
      <c r="I1377" s="135">
        <v>1290</v>
      </c>
      <c r="J1377" s="136">
        <f>Tabla3[[#This Row],[EGRESOS]]/Tabla3[[#This Row],[TC]]</f>
        <v>1304.2674418604652</v>
      </c>
      <c r="K1377" s="136">
        <f>Tabla3[[#This Row],[INGRESOS]]/Tabla3[[#This Row],[TC]]</f>
        <v>0</v>
      </c>
      <c r="L1377" s="8" t="s">
        <v>303</v>
      </c>
      <c r="M1377" s="8" t="s">
        <v>304</v>
      </c>
      <c r="N1377" s="8" t="s">
        <v>20</v>
      </c>
      <c r="O1377" s="8" t="s">
        <v>197</v>
      </c>
      <c r="P1377" s="8" t="s">
        <v>198</v>
      </c>
      <c r="Q1377" s="8" t="s">
        <v>201</v>
      </c>
      <c r="R1377" s="8" t="s">
        <v>736</v>
      </c>
      <c r="S1377" s="8" t="s">
        <v>1042</v>
      </c>
      <c r="T1377" s="8" t="s">
        <v>1053</v>
      </c>
      <c r="U1377" s="8" t="s">
        <v>258</v>
      </c>
      <c r="V1377" s="8"/>
      <c r="W1377" s="8" t="s">
        <v>306</v>
      </c>
      <c r="X1377" s="8" t="s">
        <v>29</v>
      </c>
      <c r="Y1377" s="8" t="s">
        <v>23</v>
      </c>
    </row>
    <row r="1378" spans="1:25" s="7" customFormat="1" hidden="1" x14ac:dyDescent="0.25">
      <c r="A1378" s="283" t="s">
        <v>726</v>
      </c>
      <c r="B1378" s="260">
        <v>45869</v>
      </c>
      <c r="C1378" s="261" t="s">
        <v>1054</v>
      </c>
      <c r="D1378" s="261"/>
      <c r="E1378" s="262">
        <v>0</v>
      </c>
      <c r="F1378" s="262">
        <v>8000000</v>
      </c>
      <c r="G1378" s="285">
        <f>Tabla3[[#This Row],[INGRESOS]]-Tabla3[[#This Row],[EGRESOS]]</f>
        <v>8000000</v>
      </c>
      <c r="H1378" s="285">
        <v>264893.59999999998</v>
      </c>
      <c r="I1378" s="135">
        <v>1290</v>
      </c>
      <c r="J1378" s="136">
        <f>Tabla3[[#This Row],[EGRESOS]]/Tabla3[[#This Row],[TC]]</f>
        <v>0</v>
      </c>
      <c r="K1378" s="136">
        <f>Tabla3[[#This Row],[INGRESOS]]/Tabla3[[#This Row],[TC]]</f>
        <v>6201.5503875968989</v>
      </c>
      <c r="L1378" s="8" t="s">
        <v>303</v>
      </c>
      <c r="M1378" s="8" t="s">
        <v>304</v>
      </c>
      <c r="N1378" s="8" t="s">
        <v>20</v>
      </c>
      <c r="O1378" s="8" t="s">
        <v>214</v>
      </c>
      <c r="P1378" s="8" t="s">
        <v>216</v>
      </c>
      <c r="Q1378" s="8" t="s">
        <v>217</v>
      </c>
      <c r="R1378" s="8" t="s">
        <v>914</v>
      </c>
      <c r="S1378" s="8"/>
      <c r="T1378" s="8"/>
      <c r="U1378" s="8" t="s">
        <v>262</v>
      </c>
      <c r="V1378" s="8"/>
      <c r="W1378" s="8" t="s">
        <v>306</v>
      </c>
      <c r="X1378" s="8"/>
      <c r="Y1378" s="8"/>
    </row>
    <row r="1379" spans="1:25" s="7" customFormat="1" hidden="1" x14ac:dyDescent="0.25">
      <c r="A1379" s="283" t="s">
        <v>726</v>
      </c>
      <c r="B1379" s="260">
        <v>45869</v>
      </c>
      <c r="C1379" s="261" t="s">
        <v>699</v>
      </c>
      <c r="D1379" s="261"/>
      <c r="E1379" s="262">
        <v>0</v>
      </c>
      <c r="F1379" s="262">
        <v>80757852</v>
      </c>
      <c r="G1379" s="285">
        <f>Tabla3[[#This Row],[INGRESOS]]-Tabla3[[#This Row],[EGRESOS]]</f>
        <v>80757852</v>
      </c>
      <c r="H1379" s="285">
        <v>81022745.599999994</v>
      </c>
      <c r="I1379" s="135">
        <v>1290</v>
      </c>
      <c r="J1379" s="136">
        <f>Tabla3[[#This Row],[EGRESOS]]/Tabla3[[#This Row],[TC]]</f>
        <v>0</v>
      </c>
      <c r="K1379" s="136">
        <f>Tabla3[[#This Row],[INGRESOS]]/Tabla3[[#This Row],[TC]]</f>
        <v>62602.986046511629</v>
      </c>
      <c r="L1379" s="8" t="s">
        <v>303</v>
      </c>
      <c r="M1379" s="8" t="s">
        <v>304</v>
      </c>
      <c r="N1379" s="8" t="s">
        <v>20</v>
      </c>
      <c r="O1379" s="8" t="s">
        <v>742</v>
      </c>
      <c r="P1379" s="8" t="s">
        <v>1069</v>
      </c>
      <c r="Q1379" s="8" t="s">
        <v>1058</v>
      </c>
      <c r="R1379" s="8" t="s">
        <v>1059</v>
      </c>
      <c r="S1379" s="8" t="s">
        <v>700</v>
      </c>
      <c r="T1379" s="8"/>
      <c r="U1379" s="8" t="s">
        <v>270</v>
      </c>
      <c r="V1379" s="8"/>
      <c r="W1379" s="8" t="s">
        <v>306</v>
      </c>
      <c r="X1379" s="8" t="s">
        <v>23</v>
      </c>
      <c r="Y1379" s="8" t="s">
        <v>96</v>
      </c>
    </row>
    <row r="1380" spans="1:25" s="7" customFormat="1" hidden="1" x14ac:dyDescent="0.25">
      <c r="A1380" s="283" t="s">
        <v>726</v>
      </c>
      <c r="B1380" s="260">
        <v>45869</v>
      </c>
      <c r="C1380" s="261" t="s">
        <v>542</v>
      </c>
      <c r="D1380" s="261"/>
      <c r="E1380" s="262">
        <v>8000000</v>
      </c>
      <c r="F1380" s="262">
        <v>0</v>
      </c>
      <c r="G1380" s="285">
        <f>Tabla3[[#This Row],[INGRESOS]]-Tabla3[[#This Row],[EGRESOS]]</f>
        <v>-8000000</v>
      </c>
      <c r="H1380" s="285">
        <v>73022745.599999994</v>
      </c>
      <c r="I1380" s="135">
        <v>1290</v>
      </c>
      <c r="J1380" s="136">
        <f>Tabla3[[#This Row],[EGRESOS]]/Tabla3[[#This Row],[TC]]</f>
        <v>6201.5503875968989</v>
      </c>
      <c r="K1380" s="136">
        <f>Tabla3[[#This Row],[INGRESOS]]/Tabla3[[#This Row],[TC]]</f>
        <v>0</v>
      </c>
      <c r="L1380" s="8" t="s">
        <v>303</v>
      </c>
      <c r="M1380" s="8" t="s">
        <v>304</v>
      </c>
      <c r="N1380" s="8" t="s">
        <v>20</v>
      </c>
      <c r="O1380" s="8" t="s">
        <v>214</v>
      </c>
      <c r="P1380" s="8" t="s">
        <v>216</v>
      </c>
      <c r="Q1380" s="8" t="s">
        <v>217</v>
      </c>
      <c r="R1380" s="8" t="s">
        <v>484</v>
      </c>
      <c r="S1380" s="8"/>
      <c r="T1380" s="8"/>
      <c r="U1380" s="8" t="s">
        <v>262</v>
      </c>
      <c r="V1380" s="8"/>
      <c r="W1380" s="8" t="s">
        <v>306</v>
      </c>
      <c r="X1380" s="8"/>
      <c r="Y1380" s="8"/>
    </row>
    <row r="1381" spans="1:25" s="7" customFormat="1" hidden="1" x14ac:dyDescent="0.25">
      <c r="A1381" s="283" t="s">
        <v>726</v>
      </c>
      <c r="B1381" s="260">
        <v>45869</v>
      </c>
      <c r="C1381" s="261" t="s">
        <v>571</v>
      </c>
      <c r="D1381" s="261"/>
      <c r="E1381" s="262">
        <v>121</v>
      </c>
      <c r="F1381" s="262">
        <v>0</v>
      </c>
      <c r="G1381" s="285">
        <f>Tabla3[[#This Row],[INGRESOS]]-Tabla3[[#This Row],[EGRESOS]]</f>
        <v>-121</v>
      </c>
      <c r="H1381" s="285">
        <v>73022624.599999994</v>
      </c>
      <c r="I1381" s="135">
        <v>1290</v>
      </c>
      <c r="J1381" s="136">
        <f>Tabla3[[#This Row],[EGRESOS]]/Tabla3[[#This Row],[TC]]</f>
        <v>9.3798449612403106E-2</v>
      </c>
      <c r="K1381" s="136">
        <f>Tabla3[[#This Row],[INGRESOS]]/Tabla3[[#This Row],[TC]]</f>
        <v>0</v>
      </c>
      <c r="L1381" s="8" t="s">
        <v>303</v>
      </c>
      <c r="M1381" s="8" t="s">
        <v>304</v>
      </c>
      <c r="N1381" s="8" t="s">
        <v>20</v>
      </c>
      <c r="O1381" s="8" t="s">
        <v>184</v>
      </c>
      <c r="P1381" s="8" t="s">
        <v>185</v>
      </c>
      <c r="Q1381" s="8" t="s">
        <v>186</v>
      </c>
      <c r="R1381" s="8"/>
      <c r="S1381" s="8"/>
      <c r="T1381" s="8"/>
      <c r="U1381" s="8" t="s">
        <v>261</v>
      </c>
      <c r="V1381" s="8"/>
      <c r="W1381" s="8" t="s">
        <v>306</v>
      </c>
      <c r="X1381" s="8" t="s">
        <v>98</v>
      </c>
      <c r="Y1381" s="8" t="s">
        <v>23</v>
      </c>
    </row>
    <row r="1382" spans="1:25" s="7" customFormat="1" hidden="1" x14ac:dyDescent="0.25">
      <c r="A1382" s="283" t="s">
        <v>726</v>
      </c>
      <c r="B1382" s="260">
        <v>45869</v>
      </c>
      <c r="C1382" s="261" t="s">
        <v>507</v>
      </c>
      <c r="D1382" s="261"/>
      <c r="E1382" s="262">
        <v>3276</v>
      </c>
      <c r="F1382" s="262">
        <v>0</v>
      </c>
      <c r="G1382" s="285">
        <f>Tabla3[[#This Row],[INGRESOS]]-Tabla3[[#This Row],[EGRESOS]]</f>
        <v>-3276</v>
      </c>
      <c r="H1382" s="285">
        <v>73019348.599999994</v>
      </c>
      <c r="I1382" s="135">
        <v>1290</v>
      </c>
      <c r="J1382" s="136">
        <f>Tabla3[[#This Row],[EGRESOS]]/Tabla3[[#This Row],[TC]]</f>
        <v>2.5395348837209304</v>
      </c>
      <c r="K1382" s="136">
        <f>Tabla3[[#This Row],[INGRESOS]]/Tabla3[[#This Row],[TC]]</f>
        <v>0</v>
      </c>
      <c r="L1382" s="8" t="s">
        <v>303</v>
      </c>
      <c r="M1382" s="8" t="s">
        <v>304</v>
      </c>
      <c r="N1382" s="8" t="s">
        <v>20</v>
      </c>
      <c r="O1382" s="8" t="s">
        <v>184</v>
      </c>
      <c r="P1382" s="8" t="s">
        <v>187</v>
      </c>
      <c r="Q1382" s="8" t="s">
        <v>188</v>
      </c>
      <c r="R1382" s="8" t="s">
        <v>308</v>
      </c>
      <c r="S1382" s="8"/>
      <c r="T1382" s="8"/>
      <c r="U1382" s="8" t="s">
        <v>261</v>
      </c>
      <c r="V1382" s="8"/>
      <c r="W1382" s="8" t="s">
        <v>306</v>
      </c>
      <c r="X1382" s="8" t="s">
        <v>98</v>
      </c>
      <c r="Y1382" s="8" t="s">
        <v>23</v>
      </c>
    </row>
    <row r="1383" spans="1:25" s="7" customFormat="1" hidden="1" x14ac:dyDescent="0.25">
      <c r="A1383" s="283" t="s">
        <v>726</v>
      </c>
      <c r="B1383" s="260">
        <v>45869</v>
      </c>
      <c r="C1383" s="261" t="s">
        <v>508</v>
      </c>
      <c r="D1383" s="261"/>
      <c r="E1383" s="262">
        <v>468</v>
      </c>
      <c r="F1383" s="262">
        <v>0</v>
      </c>
      <c r="G1383" s="285">
        <f>Tabla3[[#This Row],[INGRESOS]]-Tabla3[[#This Row],[EGRESOS]]</f>
        <v>-468</v>
      </c>
      <c r="H1383" s="285">
        <v>73018880.599999994</v>
      </c>
      <c r="I1383" s="135">
        <v>1290</v>
      </c>
      <c r="J1383" s="136">
        <f>Tabla3[[#This Row],[EGRESOS]]/Tabla3[[#This Row],[TC]]</f>
        <v>0.36279069767441863</v>
      </c>
      <c r="K1383" s="136">
        <f>Tabla3[[#This Row],[INGRESOS]]/Tabla3[[#This Row],[TC]]</f>
        <v>0</v>
      </c>
      <c r="L1383" s="8" t="s">
        <v>303</v>
      </c>
      <c r="M1383" s="8" t="s">
        <v>304</v>
      </c>
      <c r="N1383" s="8" t="s">
        <v>20</v>
      </c>
      <c r="O1383" s="8" t="s">
        <v>184</v>
      </c>
      <c r="P1383" s="8" t="s">
        <v>187</v>
      </c>
      <c r="Q1383" s="8" t="s">
        <v>188</v>
      </c>
      <c r="R1383" s="8" t="s">
        <v>334</v>
      </c>
      <c r="S1383" s="8"/>
      <c r="T1383" s="8"/>
      <c r="U1383" s="8" t="s">
        <v>261</v>
      </c>
      <c r="V1383" s="8"/>
      <c r="W1383" s="8" t="s">
        <v>306</v>
      </c>
      <c r="X1383" s="8" t="s">
        <v>98</v>
      </c>
      <c r="Y1383" s="8" t="s">
        <v>23</v>
      </c>
    </row>
    <row r="1384" spans="1:25" s="7" customFormat="1" hidden="1" x14ac:dyDescent="0.25">
      <c r="A1384" s="283" t="s">
        <v>726</v>
      </c>
      <c r="B1384" s="260">
        <v>45869</v>
      </c>
      <c r="C1384" s="261" t="s">
        <v>536</v>
      </c>
      <c r="D1384" s="261"/>
      <c r="E1384" s="262">
        <v>15600</v>
      </c>
      <c r="F1384" s="262">
        <v>0</v>
      </c>
      <c r="G1384" s="285">
        <f>Tabla3[[#This Row],[INGRESOS]]-Tabla3[[#This Row],[EGRESOS]]</f>
        <v>-15600</v>
      </c>
      <c r="H1384" s="285">
        <v>73003280.599999994</v>
      </c>
      <c r="I1384" s="135">
        <v>1290</v>
      </c>
      <c r="J1384" s="136">
        <f>Tabla3[[#This Row],[EGRESOS]]/Tabla3[[#This Row],[TC]]</f>
        <v>12.093023255813954</v>
      </c>
      <c r="K1384" s="136">
        <f>Tabla3[[#This Row],[INGRESOS]]/Tabla3[[#This Row],[TC]]</f>
        <v>0</v>
      </c>
      <c r="L1384" s="8" t="s">
        <v>303</v>
      </c>
      <c r="M1384" s="8" t="s">
        <v>304</v>
      </c>
      <c r="N1384" s="8" t="s">
        <v>20</v>
      </c>
      <c r="O1384" s="8" t="s">
        <v>184</v>
      </c>
      <c r="P1384" s="8" t="s">
        <v>185</v>
      </c>
      <c r="Q1384" s="8" t="s">
        <v>186</v>
      </c>
      <c r="R1384" s="8"/>
      <c r="S1384" s="8"/>
      <c r="T1384" s="8"/>
      <c r="U1384" s="8" t="s">
        <v>261</v>
      </c>
      <c r="V1384" s="8"/>
      <c r="W1384" s="8" t="s">
        <v>306</v>
      </c>
      <c r="X1384" s="8" t="s">
        <v>98</v>
      </c>
      <c r="Y1384" s="8" t="s">
        <v>23</v>
      </c>
    </row>
    <row r="1385" spans="1:25" s="7" customFormat="1" hidden="1" x14ac:dyDescent="0.25">
      <c r="A1385" s="283" t="s">
        <v>726</v>
      </c>
      <c r="B1385" s="260">
        <v>45869</v>
      </c>
      <c r="C1385" s="261" t="s">
        <v>637</v>
      </c>
      <c r="D1385" s="261"/>
      <c r="E1385" s="262">
        <v>484547.11</v>
      </c>
      <c r="F1385" s="262">
        <v>0</v>
      </c>
      <c r="G1385" s="285">
        <f>Tabla3[[#This Row],[INGRESOS]]-Tabla3[[#This Row],[EGRESOS]]</f>
        <v>-484547.11</v>
      </c>
      <c r="H1385" s="285">
        <v>72518733.489999995</v>
      </c>
      <c r="I1385" s="135">
        <v>1290</v>
      </c>
      <c r="J1385" s="136">
        <f>Tabla3[[#This Row],[EGRESOS]]/Tabla3[[#This Row],[TC]]</f>
        <v>375.61791472868214</v>
      </c>
      <c r="K1385" s="136">
        <f>Tabla3[[#This Row],[INGRESOS]]/Tabla3[[#This Row],[TC]]</f>
        <v>0</v>
      </c>
      <c r="L1385" s="8" t="s">
        <v>303</v>
      </c>
      <c r="M1385" s="8" t="s">
        <v>304</v>
      </c>
      <c r="N1385" s="8" t="s">
        <v>20</v>
      </c>
      <c r="O1385" s="8" t="s">
        <v>184</v>
      </c>
      <c r="P1385" s="8" t="s">
        <v>187</v>
      </c>
      <c r="Q1385" s="8" t="s">
        <v>188</v>
      </c>
      <c r="R1385" s="8" t="s">
        <v>317</v>
      </c>
      <c r="S1385" s="8"/>
      <c r="T1385" s="8"/>
      <c r="U1385" s="8" t="s">
        <v>261</v>
      </c>
      <c r="V1385" s="8"/>
      <c r="W1385" s="8" t="s">
        <v>306</v>
      </c>
      <c r="X1385" s="8" t="s">
        <v>98</v>
      </c>
      <c r="Y1385" s="8" t="s">
        <v>23</v>
      </c>
    </row>
    <row r="1386" spans="1:25" s="7" customFormat="1" hidden="1" x14ac:dyDescent="0.25">
      <c r="A1386" s="283" t="s">
        <v>726</v>
      </c>
      <c r="B1386" s="260">
        <v>45869</v>
      </c>
      <c r="C1386" s="261" t="s">
        <v>943</v>
      </c>
      <c r="D1386" s="261"/>
      <c r="E1386" s="262">
        <v>10211.82</v>
      </c>
      <c r="F1386" s="262">
        <v>0</v>
      </c>
      <c r="G1386" s="285">
        <f>Tabla3[[#This Row],[INGRESOS]]-Tabla3[[#This Row],[EGRESOS]]</f>
        <v>-10211.82</v>
      </c>
      <c r="H1386" s="285">
        <v>72508521.670000002</v>
      </c>
      <c r="I1386" s="135">
        <v>1290</v>
      </c>
      <c r="J1386" s="136">
        <f>Tabla3[[#This Row],[EGRESOS]]/Tabla3[[#This Row],[TC]]</f>
        <v>7.9161395348837207</v>
      </c>
      <c r="K1386" s="136">
        <f>Tabla3[[#This Row],[INGRESOS]]/Tabla3[[#This Row],[TC]]</f>
        <v>0</v>
      </c>
      <c r="L1386" s="8" t="s">
        <v>303</v>
      </c>
      <c r="M1386" s="8" t="s">
        <v>304</v>
      </c>
      <c r="N1386" s="8" t="s">
        <v>20</v>
      </c>
      <c r="O1386" s="8" t="s">
        <v>184</v>
      </c>
      <c r="P1386" s="8" t="s">
        <v>187</v>
      </c>
      <c r="Q1386" s="8" t="s">
        <v>188</v>
      </c>
      <c r="R1386" s="8" t="s">
        <v>317</v>
      </c>
      <c r="S1386" s="8"/>
      <c r="T1386" s="8"/>
      <c r="U1386" s="8" t="s">
        <v>261</v>
      </c>
      <c r="V1386" s="8"/>
      <c r="W1386" s="8" t="s">
        <v>306</v>
      </c>
      <c r="X1386" s="8" t="s">
        <v>98</v>
      </c>
      <c r="Y1386" s="8" t="s">
        <v>23</v>
      </c>
    </row>
    <row r="1387" spans="1:25" s="7" customFormat="1" hidden="1" x14ac:dyDescent="0.25">
      <c r="A1387" s="283" t="s">
        <v>726</v>
      </c>
      <c r="B1387" s="260">
        <v>45869</v>
      </c>
      <c r="C1387" s="261" t="s">
        <v>537</v>
      </c>
      <c r="D1387" s="261"/>
      <c r="E1387" s="262">
        <v>369.77</v>
      </c>
      <c r="F1387" s="262">
        <v>0</v>
      </c>
      <c r="G1387" s="285">
        <f>Tabla3[[#This Row],[INGRESOS]]-Tabla3[[#This Row],[EGRESOS]]</f>
        <v>-369.77</v>
      </c>
      <c r="H1387" s="285">
        <v>72508151.900000006</v>
      </c>
      <c r="I1387" s="135">
        <v>1290</v>
      </c>
      <c r="J1387" s="136">
        <f>Tabla3[[#This Row],[EGRESOS]]/Tabla3[[#This Row],[TC]]</f>
        <v>0.28664341085271317</v>
      </c>
      <c r="K1387" s="136">
        <f>Tabla3[[#This Row],[INGRESOS]]/Tabla3[[#This Row],[TC]]</f>
        <v>0</v>
      </c>
      <c r="L1387" s="8" t="s">
        <v>303</v>
      </c>
      <c r="M1387" s="8" t="s">
        <v>304</v>
      </c>
      <c r="N1387" s="8" t="s">
        <v>20</v>
      </c>
      <c r="O1387" s="8" t="s">
        <v>214</v>
      </c>
      <c r="P1387" s="8" t="s">
        <v>216</v>
      </c>
      <c r="Q1387" s="8" t="s">
        <v>217</v>
      </c>
      <c r="R1387" s="8" t="s">
        <v>484</v>
      </c>
      <c r="S1387" s="8"/>
      <c r="T1387" s="8"/>
      <c r="U1387" s="8" t="s">
        <v>262</v>
      </c>
      <c r="V1387" s="8"/>
      <c r="W1387" s="8" t="s">
        <v>306</v>
      </c>
      <c r="X1387" s="8"/>
      <c r="Y1387" s="8"/>
    </row>
    <row r="1388" spans="1:25" s="7" customFormat="1" hidden="1" x14ac:dyDescent="0.25">
      <c r="A1388" s="277" t="str">
        <f>"AGOSTO"</f>
        <v>AGOSTO</v>
      </c>
      <c r="B1388" s="278">
        <v>45870</v>
      </c>
      <c r="C1388" s="279" t="s">
        <v>507</v>
      </c>
      <c r="D1388" s="279"/>
      <c r="E1388" s="280">
        <v>1740.76</v>
      </c>
      <c r="F1388" s="280">
        <v>0</v>
      </c>
      <c r="G1388" s="353">
        <f>Tabla3[[#This Row],[INGRESOS]]-Tabla3[[#This Row],[EGRESOS]]</f>
        <v>-1740.76</v>
      </c>
      <c r="H1388" s="353">
        <v>72506411.140000001</v>
      </c>
      <c r="I1388" s="275">
        <v>1290</v>
      </c>
      <c r="J1388" s="281">
        <f>Tabla3[[#This Row],[EGRESOS]]/Tabla3[[#This Row],[TC]]</f>
        <v>1.3494263565891473</v>
      </c>
      <c r="K1388" s="281">
        <f>Tabla3[[#This Row],[INGRESOS]]/Tabla3[[#This Row],[TC]]</f>
        <v>0</v>
      </c>
      <c r="L1388" s="282" t="s">
        <v>303</v>
      </c>
      <c r="M1388" s="282" t="s">
        <v>304</v>
      </c>
      <c r="N1388" s="282" t="s">
        <v>20</v>
      </c>
      <c r="O1388" s="282" t="s">
        <v>184</v>
      </c>
      <c r="P1388" s="282" t="s">
        <v>187</v>
      </c>
      <c r="Q1388" s="282" t="s">
        <v>188</v>
      </c>
      <c r="R1388" s="282" t="s">
        <v>308</v>
      </c>
      <c r="S1388" s="282"/>
      <c r="T1388" s="282"/>
      <c r="U1388" s="282" t="s">
        <v>261</v>
      </c>
      <c r="V1388" s="282"/>
      <c r="W1388" s="282" t="s">
        <v>306</v>
      </c>
      <c r="X1388" s="282" t="s">
        <v>98</v>
      </c>
      <c r="Y1388" s="282" t="s">
        <v>23</v>
      </c>
    </row>
    <row r="1389" spans="1:25" s="7" customFormat="1" hidden="1" x14ac:dyDescent="0.25">
      <c r="A1389" s="277" t="s">
        <v>727</v>
      </c>
      <c r="B1389" s="278">
        <v>45870</v>
      </c>
      <c r="C1389" s="279" t="s">
        <v>508</v>
      </c>
      <c r="D1389" s="279"/>
      <c r="E1389" s="280">
        <v>248.68</v>
      </c>
      <c r="F1389" s="280">
        <v>0</v>
      </c>
      <c r="G1389" s="353">
        <f>Tabla3[[#This Row],[INGRESOS]]-Tabla3[[#This Row],[EGRESOS]]</f>
        <v>-248.68</v>
      </c>
      <c r="H1389" s="353">
        <v>72506162.459999993</v>
      </c>
      <c r="I1389" s="275">
        <v>1290</v>
      </c>
      <c r="J1389" s="281">
        <f>Tabla3[[#This Row],[EGRESOS]]/Tabla3[[#This Row],[TC]]</f>
        <v>0.19277519379844962</v>
      </c>
      <c r="K1389" s="281">
        <f>Tabla3[[#This Row],[INGRESOS]]/Tabla3[[#This Row],[TC]]</f>
        <v>0</v>
      </c>
      <c r="L1389" s="282" t="s">
        <v>303</v>
      </c>
      <c r="M1389" s="282" t="s">
        <v>304</v>
      </c>
      <c r="N1389" s="282" t="s">
        <v>20</v>
      </c>
      <c r="O1389" s="282" t="s">
        <v>184</v>
      </c>
      <c r="P1389" s="282" t="s">
        <v>187</v>
      </c>
      <c r="Q1389" s="282" t="s">
        <v>188</v>
      </c>
      <c r="R1389" s="282" t="s">
        <v>308</v>
      </c>
      <c r="S1389" s="282"/>
      <c r="T1389" s="282"/>
      <c r="U1389" s="282" t="s">
        <v>261</v>
      </c>
      <c r="V1389" s="282"/>
      <c r="W1389" s="282" t="s">
        <v>306</v>
      </c>
      <c r="X1389" s="282" t="s">
        <v>98</v>
      </c>
      <c r="Y1389" s="282" t="s">
        <v>23</v>
      </c>
    </row>
    <row r="1390" spans="1:25" s="7" customFormat="1" hidden="1" x14ac:dyDescent="0.25">
      <c r="A1390" s="277" t="s">
        <v>727</v>
      </c>
      <c r="B1390" s="278">
        <v>45870</v>
      </c>
      <c r="C1390" s="279" t="s">
        <v>518</v>
      </c>
      <c r="D1390" s="279"/>
      <c r="E1390" s="280">
        <v>16578.650000000001</v>
      </c>
      <c r="F1390" s="280">
        <v>0</v>
      </c>
      <c r="G1390" s="353">
        <f>Tabla3[[#This Row],[INGRESOS]]-Tabla3[[#This Row],[EGRESOS]]</f>
        <v>-16578.650000000001</v>
      </c>
      <c r="H1390" s="353">
        <v>72489583.810000002</v>
      </c>
      <c r="I1390" s="275">
        <v>1290</v>
      </c>
      <c r="J1390" s="281">
        <f>Tabla3[[#This Row],[EGRESOS]]/Tabla3[[#This Row],[TC]]</f>
        <v>12.851666666666668</v>
      </c>
      <c r="K1390" s="281">
        <f>Tabla3[[#This Row],[INGRESOS]]/Tabla3[[#This Row],[TC]]</f>
        <v>0</v>
      </c>
      <c r="L1390" s="282" t="s">
        <v>303</v>
      </c>
      <c r="M1390" s="282" t="s">
        <v>304</v>
      </c>
      <c r="N1390" s="282" t="s">
        <v>20</v>
      </c>
      <c r="O1390" s="282" t="s">
        <v>184</v>
      </c>
      <c r="P1390" s="282" t="s">
        <v>189</v>
      </c>
      <c r="Q1390" s="282" t="s">
        <v>190</v>
      </c>
      <c r="R1390" s="282"/>
      <c r="S1390" s="282"/>
      <c r="T1390" s="282"/>
      <c r="U1390" s="282" t="s">
        <v>261</v>
      </c>
      <c r="V1390" s="282"/>
      <c r="W1390" s="282" t="s">
        <v>306</v>
      </c>
      <c r="X1390" s="282" t="s">
        <v>98</v>
      </c>
      <c r="Y1390" s="282" t="s">
        <v>23</v>
      </c>
    </row>
    <row r="1391" spans="1:25" s="7" customFormat="1" hidden="1" x14ac:dyDescent="0.25">
      <c r="A1391" s="277" t="s">
        <v>727</v>
      </c>
      <c r="B1391" s="278">
        <v>45870</v>
      </c>
      <c r="C1391" s="279" t="s">
        <v>507</v>
      </c>
      <c r="D1391" s="279"/>
      <c r="E1391" s="280">
        <v>10.29</v>
      </c>
      <c r="F1391" s="280">
        <v>0</v>
      </c>
      <c r="G1391" s="353">
        <f>Tabla3[[#This Row],[INGRESOS]]-Tabla3[[#This Row],[EGRESOS]]</f>
        <v>-10.29</v>
      </c>
      <c r="H1391" s="353">
        <v>72489573.519999996</v>
      </c>
      <c r="I1391" s="275">
        <v>1290</v>
      </c>
      <c r="J1391" s="281">
        <f>Tabla3[[#This Row],[EGRESOS]]/Tabla3[[#This Row],[TC]]</f>
        <v>7.9767441860465107E-3</v>
      </c>
      <c r="K1391" s="281">
        <f>Tabla3[[#This Row],[INGRESOS]]/Tabla3[[#This Row],[TC]]</f>
        <v>0</v>
      </c>
      <c r="L1391" s="282" t="s">
        <v>303</v>
      </c>
      <c r="M1391" s="282" t="s">
        <v>304</v>
      </c>
      <c r="N1391" s="282" t="s">
        <v>20</v>
      </c>
      <c r="O1391" s="282" t="s">
        <v>184</v>
      </c>
      <c r="P1391" s="282" t="s">
        <v>187</v>
      </c>
      <c r="Q1391" s="282" t="s">
        <v>188</v>
      </c>
      <c r="R1391" s="282" t="s">
        <v>308</v>
      </c>
      <c r="S1391" s="282"/>
      <c r="T1391" s="282"/>
      <c r="U1391" s="282" t="s">
        <v>261</v>
      </c>
      <c r="V1391" s="282"/>
      <c r="W1391" s="282" t="s">
        <v>306</v>
      </c>
      <c r="X1391" s="282" t="s">
        <v>98</v>
      </c>
      <c r="Y1391" s="282" t="s">
        <v>23</v>
      </c>
    </row>
    <row r="1392" spans="1:25" s="7" customFormat="1" hidden="1" x14ac:dyDescent="0.25">
      <c r="A1392" s="277" t="s">
        <v>727</v>
      </c>
      <c r="B1392" s="278">
        <v>45870</v>
      </c>
      <c r="C1392" s="279" t="s">
        <v>520</v>
      </c>
      <c r="D1392" s="279"/>
      <c r="E1392" s="280">
        <v>98</v>
      </c>
      <c r="F1392" s="280">
        <v>0</v>
      </c>
      <c r="G1392" s="353">
        <f>Tabla3[[#This Row],[INGRESOS]]-Tabla3[[#This Row],[EGRESOS]]</f>
        <v>-98</v>
      </c>
      <c r="H1392" s="353">
        <v>72489475.519999996</v>
      </c>
      <c r="I1392" s="275">
        <v>1290</v>
      </c>
      <c r="J1392" s="281">
        <f>Tabla3[[#This Row],[EGRESOS]]/Tabla3[[#This Row],[TC]]</f>
        <v>7.5968992248062014E-2</v>
      </c>
      <c r="K1392" s="281">
        <f>Tabla3[[#This Row],[INGRESOS]]/Tabla3[[#This Row],[TC]]</f>
        <v>0</v>
      </c>
      <c r="L1392" s="282" t="s">
        <v>303</v>
      </c>
      <c r="M1392" s="282" t="s">
        <v>304</v>
      </c>
      <c r="N1392" s="282" t="s">
        <v>20</v>
      </c>
      <c r="O1392" s="282" t="s">
        <v>184</v>
      </c>
      <c r="P1392" s="282" t="s">
        <v>189</v>
      </c>
      <c r="Q1392" s="282" t="s">
        <v>190</v>
      </c>
      <c r="R1392" s="282"/>
      <c r="S1392" s="282"/>
      <c r="T1392" s="282"/>
      <c r="U1392" s="282" t="s">
        <v>261</v>
      </c>
      <c r="V1392" s="282"/>
      <c r="W1392" s="282" t="s">
        <v>306</v>
      </c>
      <c r="X1392" s="282" t="s">
        <v>98</v>
      </c>
      <c r="Y1392" s="282" t="s">
        <v>23</v>
      </c>
    </row>
    <row r="1393" spans="1:25" s="7" customFormat="1" x14ac:dyDescent="0.25">
      <c r="A1393" s="277" t="s">
        <v>727</v>
      </c>
      <c r="B1393" s="278">
        <v>45870</v>
      </c>
      <c r="C1393" s="279" t="s">
        <v>521</v>
      </c>
      <c r="D1393" s="279" t="s">
        <v>1055</v>
      </c>
      <c r="E1393" s="280">
        <v>440000</v>
      </c>
      <c r="F1393" s="280">
        <v>0</v>
      </c>
      <c r="G1393" s="353">
        <f>Tabla3[[#This Row],[INGRESOS]]-Tabla3[[#This Row],[EGRESOS]]</f>
        <v>-440000</v>
      </c>
      <c r="H1393" s="353">
        <v>72049475.519999996</v>
      </c>
      <c r="I1393" s="275">
        <v>1290</v>
      </c>
      <c r="J1393" s="281">
        <f>Tabla3[[#This Row],[EGRESOS]]/Tabla3[[#This Row],[TC]]</f>
        <v>341.08527131782944</v>
      </c>
      <c r="K1393" s="281">
        <f>Tabla3[[#This Row],[INGRESOS]]/Tabla3[[#This Row],[TC]]</f>
        <v>0</v>
      </c>
      <c r="L1393" s="282" t="s">
        <v>303</v>
      </c>
      <c r="M1393" s="282" t="s">
        <v>304</v>
      </c>
      <c r="N1393" s="282" t="s">
        <v>20</v>
      </c>
      <c r="O1393" s="282" t="s">
        <v>742</v>
      </c>
      <c r="P1393" s="282" t="s">
        <v>220</v>
      </c>
      <c r="Q1393" s="282" t="s">
        <v>199</v>
      </c>
      <c r="R1393" s="282" t="s">
        <v>226</v>
      </c>
      <c r="S1393" s="282" t="s">
        <v>548</v>
      </c>
      <c r="U1393" s="282" t="s">
        <v>258</v>
      </c>
      <c r="V1393" s="282"/>
      <c r="W1393" s="282" t="s">
        <v>306</v>
      </c>
      <c r="X1393" s="282" t="s">
        <v>29</v>
      </c>
      <c r="Y1393" s="282" t="s">
        <v>23</v>
      </c>
    </row>
    <row r="1394" spans="1:25" s="7" customFormat="1" x14ac:dyDescent="0.25">
      <c r="A1394" s="277" t="s">
        <v>727</v>
      </c>
      <c r="B1394" s="278">
        <v>45870</v>
      </c>
      <c r="C1394" s="279" t="s">
        <v>521</v>
      </c>
      <c r="D1394" s="279" t="s">
        <v>1056</v>
      </c>
      <c r="E1394" s="280">
        <v>1247120</v>
      </c>
      <c r="F1394" s="280">
        <v>0</v>
      </c>
      <c r="G1394" s="353">
        <f>Tabla3[[#This Row],[INGRESOS]]-Tabla3[[#This Row],[EGRESOS]]</f>
        <v>-1247120</v>
      </c>
      <c r="H1394" s="353">
        <v>70802355.519999996</v>
      </c>
      <c r="I1394" s="275">
        <v>1290</v>
      </c>
      <c r="J1394" s="281">
        <f>Tabla3[[#This Row],[EGRESOS]]/Tabla3[[#This Row],[TC]]</f>
        <v>966.75968992248067</v>
      </c>
      <c r="K1394" s="281">
        <f>Tabla3[[#This Row],[INGRESOS]]/Tabla3[[#This Row],[TC]]</f>
        <v>0</v>
      </c>
      <c r="L1394" s="282" t="s">
        <v>303</v>
      </c>
      <c r="M1394" s="282" t="s">
        <v>304</v>
      </c>
      <c r="N1394" s="282" t="s">
        <v>20</v>
      </c>
      <c r="O1394" s="282" t="s">
        <v>742</v>
      </c>
      <c r="P1394" s="282" t="s">
        <v>220</v>
      </c>
      <c r="Q1394" s="282" t="s">
        <v>222</v>
      </c>
      <c r="R1394" s="282"/>
      <c r="S1394" s="282" t="s">
        <v>529</v>
      </c>
      <c r="T1394" s="282" t="s">
        <v>1060</v>
      </c>
      <c r="U1394" s="282" t="s">
        <v>258</v>
      </c>
      <c r="V1394" s="282"/>
      <c r="W1394" s="282" t="s">
        <v>306</v>
      </c>
      <c r="X1394" s="282" t="s">
        <v>29</v>
      </c>
      <c r="Y1394" s="282" t="s">
        <v>23</v>
      </c>
    </row>
    <row r="1395" spans="1:25" s="7" customFormat="1" x14ac:dyDescent="0.25">
      <c r="A1395" s="277" t="s">
        <v>727</v>
      </c>
      <c r="B1395" s="278">
        <v>45870</v>
      </c>
      <c r="C1395" s="279" t="s">
        <v>521</v>
      </c>
      <c r="D1395" s="279" t="s">
        <v>1057</v>
      </c>
      <c r="E1395" s="280">
        <v>5807565</v>
      </c>
      <c r="F1395" s="280">
        <v>0</v>
      </c>
      <c r="G1395" s="353">
        <f>Tabla3[[#This Row],[INGRESOS]]-Tabla3[[#This Row],[EGRESOS]]</f>
        <v>-5807565</v>
      </c>
      <c r="H1395" s="354">
        <v>64994790.520000003</v>
      </c>
      <c r="I1395" s="275">
        <v>1290</v>
      </c>
      <c r="J1395" s="281">
        <f>Tabla3[[#This Row],[EGRESOS]]/Tabla3[[#This Row],[TC]]</f>
        <v>4501.9883720930229</v>
      </c>
      <c r="K1395" s="281">
        <f>Tabla3[[#This Row],[INGRESOS]]/Tabla3[[#This Row],[TC]]</f>
        <v>0</v>
      </c>
      <c r="L1395" s="282" t="s">
        <v>303</v>
      </c>
      <c r="M1395" s="282" t="s">
        <v>304</v>
      </c>
      <c r="N1395" s="282" t="s">
        <v>20</v>
      </c>
      <c r="O1395" s="282" t="s">
        <v>742</v>
      </c>
      <c r="P1395" s="282" t="s">
        <v>220</v>
      </c>
      <c r="Q1395" s="282" t="s">
        <v>939</v>
      </c>
      <c r="R1395" s="282" t="s">
        <v>995</v>
      </c>
      <c r="S1395" s="282" t="s">
        <v>63</v>
      </c>
      <c r="T1395" s="282" t="s">
        <v>1061</v>
      </c>
      <c r="U1395" s="282" t="s">
        <v>258</v>
      </c>
      <c r="V1395" s="282"/>
      <c r="W1395" s="282" t="s">
        <v>306</v>
      </c>
      <c r="X1395" s="282" t="s">
        <v>41</v>
      </c>
      <c r="Y1395" s="282" t="s">
        <v>23</v>
      </c>
    </row>
    <row r="1396" spans="1:25" hidden="1" x14ac:dyDescent="0.25">
      <c r="A1396" s="283" t="s">
        <v>247</v>
      </c>
      <c r="B1396" s="260">
        <v>45786</v>
      </c>
      <c r="C1396" s="261" t="s">
        <v>717</v>
      </c>
      <c r="D1396" s="261"/>
      <c r="E1396" s="262">
        <v>0</v>
      </c>
      <c r="F1396" s="262">
        <v>600000</v>
      </c>
      <c r="G1396" s="284">
        <f>Tabla3[[#This Row],[INGRESOS]]-Tabla3[[#This Row],[EGRESOS]]</f>
        <v>600000</v>
      </c>
      <c r="H1396" s="352"/>
      <c r="I1396" s="286">
        <v>1170</v>
      </c>
      <c r="J1396" s="136">
        <f>Tabla3[[#This Row],[EGRESOS]]/Tabla3[[#This Row],[TC]]</f>
        <v>0</v>
      </c>
      <c r="K1396" s="136">
        <f>Tabla3[[#This Row],[INGRESOS]]/Tabla3[[#This Row],[TC]]</f>
        <v>512.82051282051282</v>
      </c>
      <c r="L1396" s="8"/>
      <c r="M1396" s="287" t="s">
        <v>720</v>
      </c>
      <c r="N1396" s="287" t="s">
        <v>720</v>
      </c>
      <c r="O1396" s="287" t="s">
        <v>184</v>
      </c>
      <c r="P1396" s="287" t="s">
        <v>194</v>
      </c>
      <c r="Q1396" s="287" t="s">
        <v>236</v>
      </c>
      <c r="R1396" s="287" t="s">
        <v>718</v>
      </c>
      <c r="S1396" s="287" t="s">
        <v>311</v>
      </c>
      <c r="T1396" s="287"/>
      <c r="U1396" s="287" t="s">
        <v>272</v>
      </c>
      <c r="V1396" s="287" t="s">
        <v>311</v>
      </c>
      <c r="W1396" s="287" t="s">
        <v>306</v>
      </c>
      <c r="X1396" s="287" t="s">
        <v>23</v>
      </c>
      <c r="Y1396" s="287" t="s">
        <v>97</v>
      </c>
    </row>
    <row r="1397" spans="1:25" hidden="1" x14ac:dyDescent="0.25">
      <c r="A1397" s="283" t="s">
        <v>247</v>
      </c>
      <c r="B1397" s="260">
        <v>45786</v>
      </c>
      <c r="C1397" s="261" t="s">
        <v>719</v>
      </c>
      <c r="D1397" s="261"/>
      <c r="E1397" s="262">
        <v>500000</v>
      </c>
      <c r="F1397" s="262">
        <v>0</v>
      </c>
      <c r="G1397" s="284">
        <f>Tabla3[[#This Row],[INGRESOS]]-Tabla3[[#This Row],[EGRESOS]]</f>
        <v>-500000</v>
      </c>
      <c r="H1397" s="352"/>
      <c r="I1397" s="286">
        <v>1170</v>
      </c>
      <c r="J1397" s="136">
        <f>Tabla3[[#This Row],[EGRESOS]]/Tabla3[[#This Row],[TC]]</f>
        <v>427.35042735042737</v>
      </c>
      <c r="K1397" s="136">
        <f>Tabla3[[#This Row],[INGRESOS]]/Tabla3[[#This Row],[TC]]</f>
        <v>0</v>
      </c>
      <c r="L1397" s="8"/>
      <c r="M1397" s="287" t="s">
        <v>720</v>
      </c>
      <c r="N1397" s="287" t="s">
        <v>720</v>
      </c>
      <c r="O1397" s="287" t="s">
        <v>184</v>
      </c>
      <c r="P1397" s="287" t="s">
        <v>191</v>
      </c>
      <c r="Q1397" s="287" t="s">
        <v>193</v>
      </c>
      <c r="R1397" s="287" t="s">
        <v>692</v>
      </c>
      <c r="S1397" s="287" t="s">
        <v>313</v>
      </c>
      <c r="T1397" s="287"/>
      <c r="U1397" s="287" t="s">
        <v>266</v>
      </c>
      <c r="V1397" s="287"/>
      <c r="W1397" s="287" t="s">
        <v>306</v>
      </c>
      <c r="X1397" s="287" t="s">
        <v>98</v>
      </c>
      <c r="Y1397" s="287" t="s">
        <v>23</v>
      </c>
    </row>
    <row r="1398" spans="1:25" hidden="1" x14ac:dyDescent="0.25">
      <c r="A1398" s="283" t="s">
        <v>247</v>
      </c>
      <c r="B1398" s="260">
        <v>45786</v>
      </c>
      <c r="C1398" s="261" t="s">
        <v>719</v>
      </c>
      <c r="D1398" s="261"/>
      <c r="E1398" s="262">
        <v>100000</v>
      </c>
      <c r="F1398" s="262">
        <v>0</v>
      </c>
      <c r="G1398" s="284">
        <f>Tabla3[[#This Row],[INGRESOS]]-Tabla3[[#This Row],[EGRESOS]]</f>
        <v>-100000</v>
      </c>
      <c r="H1398" s="352"/>
      <c r="I1398" s="286">
        <v>1170</v>
      </c>
      <c r="J1398" s="136">
        <f>Tabla3[[#This Row],[EGRESOS]]/Tabla3[[#This Row],[TC]]</f>
        <v>85.470085470085465</v>
      </c>
      <c r="K1398" s="136">
        <f>Tabla3[[#This Row],[INGRESOS]]/Tabla3[[#This Row],[TC]]</f>
        <v>0</v>
      </c>
      <c r="L1398" s="8"/>
      <c r="M1398" s="287" t="s">
        <v>720</v>
      </c>
      <c r="N1398" s="287" t="s">
        <v>720</v>
      </c>
      <c r="O1398" s="287" t="s">
        <v>184</v>
      </c>
      <c r="P1398" s="287" t="s">
        <v>191</v>
      </c>
      <c r="Q1398" s="287" t="s">
        <v>192</v>
      </c>
      <c r="R1398" s="287"/>
      <c r="S1398" s="287" t="s">
        <v>431</v>
      </c>
      <c r="T1398" s="287"/>
      <c r="U1398" s="287" t="s">
        <v>266</v>
      </c>
      <c r="V1398" s="287"/>
      <c r="W1398" s="287" t="s">
        <v>306</v>
      </c>
      <c r="X1398" s="287" t="s">
        <v>98</v>
      </c>
      <c r="Y1398" s="287" t="s">
        <v>23</v>
      </c>
    </row>
    <row r="1399" spans="1:25" hidden="1" x14ac:dyDescent="0.25">
      <c r="A1399" s="283" t="s">
        <v>247</v>
      </c>
      <c r="B1399" s="260">
        <v>45787</v>
      </c>
      <c r="C1399" s="261" t="s">
        <v>717</v>
      </c>
      <c r="D1399" s="261"/>
      <c r="E1399" s="262">
        <v>0</v>
      </c>
      <c r="F1399" s="262">
        <v>100000</v>
      </c>
      <c r="G1399" s="284">
        <f>Tabla3[[#This Row],[INGRESOS]]-Tabla3[[#This Row],[EGRESOS]]</f>
        <v>100000</v>
      </c>
      <c r="H1399" s="352"/>
      <c r="I1399" s="286">
        <v>1170</v>
      </c>
      <c r="J1399" s="136">
        <f>Tabla3[[#This Row],[EGRESOS]]/Tabla3[[#This Row],[TC]]</f>
        <v>0</v>
      </c>
      <c r="K1399" s="136">
        <f>Tabla3[[#This Row],[INGRESOS]]/Tabla3[[#This Row],[TC]]</f>
        <v>85.470085470085465</v>
      </c>
      <c r="L1399" s="8"/>
      <c r="M1399" s="287" t="s">
        <v>720</v>
      </c>
      <c r="N1399" s="287" t="s">
        <v>720</v>
      </c>
      <c r="O1399" s="287" t="s">
        <v>184</v>
      </c>
      <c r="P1399" s="287" t="s">
        <v>194</v>
      </c>
      <c r="Q1399" s="287" t="s">
        <v>236</v>
      </c>
      <c r="R1399" s="287" t="s">
        <v>718</v>
      </c>
      <c r="S1399" s="287" t="s">
        <v>311</v>
      </c>
      <c r="T1399" s="287"/>
      <c r="U1399" s="287" t="s">
        <v>272</v>
      </c>
      <c r="V1399" s="287" t="s">
        <v>311</v>
      </c>
      <c r="W1399" s="287" t="s">
        <v>306</v>
      </c>
      <c r="X1399" s="287" t="s">
        <v>23</v>
      </c>
      <c r="Y1399" s="287" t="s">
        <v>97</v>
      </c>
    </row>
    <row r="1400" spans="1:25" hidden="1" x14ac:dyDescent="0.25">
      <c r="A1400" s="283" t="s">
        <v>247</v>
      </c>
      <c r="B1400" s="260">
        <v>45787</v>
      </c>
      <c r="C1400" s="261" t="s">
        <v>719</v>
      </c>
      <c r="D1400" s="261"/>
      <c r="E1400" s="262">
        <v>100000</v>
      </c>
      <c r="F1400" s="262">
        <v>0</v>
      </c>
      <c r="G1400" s="284">
        <f>Tabla3[[#This Row],[INGRESOS]]-Tabla3[[#This Row],[EGRESOS]]</f>
        <v>-100000</v>
      </c>
      <c r="H1400" s="352"/>
      <c r="I1400" s="286">
        <v>1170</v>
      </c>
      <c r="J1400" s="136">
        <f>Tabla3[[#This Row],[EGRESOS]]/Tabla3[[#This Row],[TC]]</f>
        <v>85.470085470085465</v>
      </c>
      <c r="K1400" s="136">
        <f>Tabla3[[#This Row],[INGRESOS]]/Tabla3[[#This Row],[TC]]</f>
        <v>0</v>
      </c>
      <c r="L1400" s="8"/>
      <c r="M1400" s="287" t="s">
        <v>720</v>
      </c>
      <c r="N1400" s="287" t="s">
        <v>720</v>
      </c>
      <c r="O1400" s="287" t="s">
        <v>184</v>
      </c>
      <c r="P1400" s="287" t="s">
        <v>191</v>
      </c>
      <c r="Q1400" s="287" t="s">
        <v>192</v>
      </c>
      <c r="R1400" s="287"/>
      <c r="S1400" s="287" t="s">
        <v>431</v>
      </c>
      <c r="T1400" s="287"/>
      <c r="U1400" s="287" t="s">
        <v>266</v>
      </c>
      <c r="V1400" s="287"/>
      <c r="W1400" s="287" t="s">
        <v>306</v>
      </c>
      <c r="X1400" s="287" t="s">
        <v>98</v>
      </c>
      <c r="Y1400" s="287" t="s">
        <v>23</v>
      </c>
    </row>
    <row r="1401" spans="1:25" hidden="1" x14ac:dyDescent="0.25">
      <c r="A1401" s="283" t="s">
        <v>247</v>
      </c>
      <c r="B1401" s="260">
        <v>45803</v>
      </c>
      <c r="C1401" s="261" t="s">
        <v>719</v>
      </c>
      <c r="D1401" s="261"/>
      <c r="E1401" s="262">
        <v>500000</v>
      </c>
      <c r="F1401" s="262">
        <v>0</v>
      </c>
      <c r="G1401" s="284">
        <f>Tabla3[[#This Row],[INGRESOS]]-Tabla3[[#This Row],[EGRESOS]]</f>
        <v>-500000</v>
      </c>
      <c r="H1401" s="139"/>
      <c r="I1401" s="286">
        <v>1170</v>
      </c>
      <c r="J1401" s="136">
        <f>Tabla3[[#This Row],[EGRESOS]]/Tabla3[[#This Row],[TC]]</f>
        <v>427.35042735042737</v>
      </c>
      <c r="K1401" s="136">
        <f>Tabla3[[#This Row],[INGRESOS]]/Tabla3[[#This Row],[TC]]</f>
        <v>0</v>
      </c>
      <c r="L1401" s="287" t="s">
        <v>720</v>
      </c>
      <c r="M1401" s="287" t="s">
        <v>720</v>
      </c>
      <c r="N1401" s="287" t="s">
        <v>720</v>
      </c>
      <c r="O1401" s="287" t="s">
        <v>184</v>
      </c>
      <c r="P1401" s="287" t="s">
        <v>191</v>
      </c>
      <c r="Q1401" s="287" t="s">
        <v>193</v>
      </c>
      <c r="R1401" s="287" t="s">
        <v>841</v>
      </c>
      <c r="S1401" s="287" t="s">
        <v>313</v>
      </c>
      <c r="T1401" s="287"/>
      <c r="U1401" s="287" t="s">
        <v>266</v>
      </c>
      <c r="V1401" s="287"/>
      <c r="W1401" s="287" t="s">
        <v>306</v>
      </c>
      <c r="X1401" s="287" t="s">
        <v>98</v>
      </c>
      <c r="Y1401" s="287" t="s">
        <v>23</v>
      </c>
    </row>
    <row r="1402" spans="1:25" hidden="1" x14ac:dyDescent="0.25">
      <c r="A1402" s="283" t="s">
        <v>247</v>
      </c>
      <c r="B1402" s="260">
        <v>45793</v>
      </c>
      <c r="C1402" s="261" t="s">
        <v>719</v>
      </c>
      <c r="D1402" s="261"/>
      <c r="E1402" s="262">
        <v>0</v>
      </c>
      <c r="F1402" s="262">
        <v>17021.73</v>
      </c>
      <c r="G1402" s="284">
        <f>Tabla3[[#This Row],[INGRESOS]]-Tabla3[[#This Row],[EGRESOS]]</f>
        <v>17021.73</v>
      </c>
      <c r="H1402" s="139"/>
      <c r="I1402" s="286">
        <v>1170</v>
      </c>
      <c r="J1402" s="136">
        <f>Tabla3[[#This Row],[EGRESOS]]/Tabla3[[#This Row],[TC]]</f>
        <v>0</v>
      </c>
      <c r="K1402" s="136">
        <f>Tabla3[[#This Row],[INGRESOS]]/Tabla3[[#This Row],[TC]]</f>
        <v>14.548487179487179</v>
      </c>
      <c r="L1402" s="287" t="s">
        <v>720</v>
      </c>
      <c r="M1402" s="287" t="s">
        <v>720</v>
      </c>
      <c r="N1402" s="287" t="s">
        <v>720</v>
      </c>
      <c r="O1402" s="287" t="s">
        <v>184</v>
      </c>
      <c r="P1402" s="287" t="s">
        <v>194</v>
      </c>
      <c r="Q1402" s="287" t="s">
        <v>236</v>
      </c>
      <c r="R1402" s="287" t="s">
        <v>721</v>
      </c>
      <c r="S1402" s="287" t="s">
        <v>331</v>
      </c>
      <c r="T1402" s="287"/>
      <c r="U1402" s="8" t="s">
        <v>272</v>
      </c>
      <c r="V1402" s="287" t="s">
        <v>332</v>
      </c>
      <c r="W1402" s="287" t="s">
        <v>306</v>
      </c>
      <c r="X1402" s="287" t="s">
        <v>23</v>
      </c>
      <c r="Y1402" s="287" t="s">
        <v>97</v>
      </c>
    </row>
    <row r="1403" spans="1:25" hidden="1" x14ac:dyDescent="0.25">
      <c r="A1403" s="283" t="s">
        <v>242</v>
      </c>
      <c r="B1403" s="260">
        <v>45768</v>
      </c>
      <c r="C1403" s="261" t="s">
        <v>719</v>
      </c>
      <c r="D1403" s="261"/>
      <c r="E1403" s="262">
        <v>0</v>
      </c>
      <c r="F1403" s="262">
        <v>45000</v>
      </c>
      <c r="G1403" s="284">
        <f>Tabla3[[#This Row],[INGRESOS]]-Tabla3[[#This Row],[EGRESOS]]</f>
        <v>45000</v>
      </c>
      <c r="H1403" s="352"/>
      <c r="I1403" s="286">
        <v>1170</v>
      </c>
      <c r="J1403" s="136">
        <f>Tabla3[[#This Row],[EGRESOS]]/Tabla3[[#This Row],[TC]]</f>
        <v>0</v>
      </c>
      <c r="K1403" s="136">
        <f>Tabla3[[#This Row],[INGRESOS]]/Tabla3[[#This Row],[TC]]</f>
        <v>38.46153846153846</v>
      </c>
      <c r="L1403" s="8" t="s">
        <v>720</v>
      </c>
      <c r="M1403" s="287" t="s">
        <v>720</v>
      </c>
      <c r="N1403" s="287" t="s">
        <v>720</v>
      </c>
      <c r="O1403" s="287" t="s">
        <v>184</v>
      </c>
      <c r="P1403" s="287" t="s">
        <v>194</v>
      </c>
      <c r="Q1403" s="287" t="s">
        <v>236</v>
      </c>
      <c r="R1403" s="287" t="s">
        <v>718</v>
      </c>
      <c r="S1403" s="287" t="s">
        <v>311</v>
      </c>
      <c r="T1403" s="287"/>
      <c r="U1403" s="287" t="s">
        <v>272</v>
      </c>
      <c r="V1403" s="287" t="s">
        <v>311</v>
      </c>
      <c r="W1403" s="287" t="s">
        <v>306</v>
      </c>
      <c r="X1403" s="287" t="s">
        <v>23</v>
      </c>
      <c r="Y1403" s="287" t="s">
        <v>97</v>
      </c>
    </row>
    <row r="1404" spans="1:25" hidden="1" x14ac:dyDescent="0.25">
      <c r="A1404" s="283" t="s">
        <v>242</v>
      </c>
      <c r="B1404" s="260">
        <v>45768</v>
      </c>
      <c r="C1404" s="261" t="s">
        <v>719</v>
      </c>
      <c r="D1404" s="261"/>
      <c r="E1404" s="262">
        <v>45000</v>
      </c>
      <c r="F1404" s="262">
        <v>0</v>
      </c>
      <c r="G1404" s="284">
        <f>Tabla3[[#This Row],[INGRESOS]]-Tabla3[[#This Row],[EGRESOS]]</f>
        <v>-45000</v>
      </c>
      <c r="H1404" s="139"/>
      <c r="I1404" s="286">
        <v>1170</v>
      </c>
      <c r="J1404" s="136">
        <f>Tabla3[[#This Row],[EGRESOS]]/Tabla3[[#This Row],[TC]]</f>
        <v>38.46153846153846</v>
      </c>
      <c r="K1404" s="136">
        <f>Tabla3[[#This Row],[INGRESOS]]/Tabla3[[#This Row],[TC]]</f>
        <v>0</v>
      </c>
      <c r="L1404" s="287" t="s">
        <v>720</v>
      </c>
      <c r="M1404" s="287" t="s">
        <v>720</v>
      </c>
      <c r="N1404" s="287" t="s">
        <v>720</v>
      </c>
      <c r="O1404" s="287" t="s">
        <v>184</v>
      </c>
      <c r="P1404" s="287" t="s">
        <v>191</v>
      </c>
      <c r="Q1404" s="287" t="s">
        <v>192</v>
      </c>
      <c r="R1404" s="287"/>
      <c r="S1404" s="287" t="s">
        <v>431</v>
      </c>
      <c r="T1404" s="287"/>
      <c r="U1404" s="8" t="s">
        <v>266</v>
      </c>
      <c r="V1404" s="287"/>
      <c r="W1404" s="287" t="s">
        <v>306</v>
      </c>
      <c r="X1404" s="287" t="s">
        <v>98</v>
      </c>
      <c r="Y1404" s="287" t="s">
        <v>23</v>
      </c>
    </row>
    <row r="1405" spans="1:25" hidden="1" x14ac:dyDescent="0.25">
      <c r="A1405" s="283" t="s">
        <v>247</v>
      </c>
      <c r="B1405" s="260">
        <v>45793</v>
      </c>
      <c r="C1405" s="261" t="s">
        <v>719</v>
      </c>
      <c r="D1405" s="261"/>
      <c r="E1405" s="262">
        <v>17021.73</v>
      </c>
      <c r="F1405" s="262">
        <v>0</v>
      </c>
      <c r="G1405" s="284">
        <f>Tabla3[[#This Row],[INGRESOS]]-Tabla3[[#This Row],[EGRESOS]]</f>
        <v>-17021.73</v>
      </c>
      <c r="H1405" s="139"/>
      <c r="I1405" s="286">
        <v>1170</v>
      </c>
      <c r="J1405" s="136">
        <f>Tabla3[[#This Row],[EGRESOS]]/Tabla3[[#This Row],[TC]]</f>
        <v>14.548487179487179</v>
      </c>
      <c r="K1405" s="136">
        <f>Tabla3[[#This Row],[INGRESOS]]/Tabla3[[#This Row],[TC]]</f>
        <v>0</v>
      </c>
      <c r="L1405" s="287" t="s">
        <v>720</v>
      </c>
      <c r="M1405" s="287" t="s">
        <v>720</v>
      </c>
      <c r="N1405" s="287" t="s">
        <v>720</v>
      </c>
      <c r="O1405" s="287" t="s">
        <v>184</v>
      </c>
      <c r="P1405" s="287" t="s">
        <v>191</v>
      </c>
      <c r="Q1405" s="287" t="s">
        <v>193</v>
      </c>
      <c r="R1405" s="287" t="s">
        <v>722</v>
      </c>
      <c r="S1405" s="287" t="s">
        <v>313</v>
      </c>
      <c r="T1405" s="287"/>
      <c r="U1405" s="8" t="s">
        <v>266</v>
      </c>
      <c r="V1405" s="287"/>
      <c r="W1405" s="287" t="s">
        <v>306</v>
      </c>
      <c r="X1405" s="287" t="s">
        <v>98</v>
      </c>
      <c r="Y1405" s="287" t="s">
        <v>23</v>
      </c>
    </row>
    <row r="1406" spans="1:25" hidden="1" x14ac:dyDescent="0.25">
      <c r="A1406" s="283" t="s">
        <v>725</v>
      </c>
      <c r="B1406" s="260">
        <v>45824</v>
      </c>
      <c r="C1406" s="261" t="s">
        <v>719</v>
      </c>
      <c r="D1406" s="261"/>
      <c r="E1406" s="262">
        <v>0</v>
      </c>
      <c r="F1406" s="262">
        <v>402358</v>
      </c>
      <c r="G1406" s="284">
        <f>Tabla3[[#This Row],[INGRESOS]]-Tabla3[[#This Row],[EGRESOS]]</f>
        <v>402358</v>
      </c>
      <c r="H1406" s="139"/>
      <c r="I1406" s="286">
        <v>1170</v>
      </c>
      <c r="J1406" s="136">
        <f>Tabla3[[#This Row],[EGRESOS]]/Tabla3[[#This Row],[TC]]</f>
        <v>0</v>
      </c>
      <c r="K1406" s="136">
        <f>Tabla3[[#This Row],[INGRESOS]]/Tabla3[[#This Row],[TC]]</f>
        <v>343.89572649572648</v>
      </c>
      <c r="L1406" s="287" t="s">
        <v>720</v>
      </c>
      <c r="M1406" s="287" t="s">
        <v>720</v>
      </c>
      <c r="N1406" s="287" t="s">
        <v>720</v>
      </c>
      <c r="O1406" s="287" t="s">
        <v>184</v>
      </c>
      <c r="P1406" s="287" t="s">
        <v>237</v>
      </c>
      <c r="Q1406" s="287" t="s">
        <v>236</v>
      </c>
      <c r="R1406" s="287" t="s">
        <v>852</v>
      </c>
      <c r="S1406" s="287" t="s">
        <v>418</v>
      </c>
      <c r="T1406" s="287"/>
      <c r="U1406" s="8" t="s">
        <v>273</v>
      </c>
      <c r="V1406" s="287"/>
      <c r="W1406" s="287" t="s">
        <v>306</v>
      </c>
      <c r="X1406" s="287" t="s">
        <v>23</v>
      </c>
      <c r="Y1406" s="287" t="s">
        <v>39</v>
      </c>
    </row>
    <row r="1407" spans="1:25" x14ac:dyDescent="0.25">
      <c r="A1407" s="283" t="s">
        <v>725</v>
      </c>
      <c r="B1407" s="260">
        <v>45814</v>
      </c>
      <c r="C1407" s="261" t="s">
        <v>719</v>
      </c>
      <c r="D1407" s="261"/>
      <c r="E1407" s="262">
        <v>55200</v>
      </c>
      <c r="F1407" s="262">
        <v>0</v>
      </c>
      <c r="G1407" s="284">
        <f>Tabla3[[#This Row],[INGRESOS]]-Tabla3[[#This Row],[EGRESOS]]</f>
        <v>-55200</v>
      </c>
      <c r="H1407" s="139"/>
      <c r="I1407" s="286">
        <v>1170</v>
      </c>
      <c r="J1407" s="136">
        <f>Tabla3[[#This Row],[EGRESOS]]/Tabla3[[#This Row],[TC]]</f>
        <v>47.179487179487182</v>
      </c>
      <c r="K1407" s="136">
        <f>Tabla3[[#This Row],[INGRESOS]]/Tabla3[[#This Row],[TC]]</f>
        <v>0</v>
      </c>
      <c r="L1407" s="287" t="s">
        <v>720</v>
      </c>
      <c r="M1407" s="287" t="s">
        <v>720</v>
      </c>
      <c r="N1407" s="287" t="s">
        <v>720</v>
      </c>
      <c r="O1407" s="287" t="s">
        <v>742</v>
      </c>
      <c r="P1407" s="287" t="s">
        <v>220</v>
      </c>
      <c r="Q1407" s="287" t="s">
        <v>788</v>
      </c>
      <c r="R1407" s="287" t="s">
        <v>142</v>
      </c>
      <c r="S1407" s="287" t="s">
        <v>848</v>
      </c>
      <c r="T1407" s="287"/>
      <c r="U1407" s="8" t="s">
        <v>258</v>
      </c>
      <c r="V1407" s="287"/>
      <c r="W1407" s="287" t="s">
        <v>306</v>
      </c>
      <c r="X1407" s="287" t="s">
        <v>29</v>
      </c>
      <c r="Y1407" s="287" t="s">
        <v>23</v>
      </c>
    </row>
    <row r="1408" spans="1:25" hidden="1" x14ac:dyDescent="0.25">
      <c r="A1408" s="283" t="s">
        <v>725</v>
      </c>
      <c r="B1408" s="260">
        <v>45809</v>
      </c>
      <c r="C1408" s="261" t="s">
        <v>719</v>
      </c>
      <c r="D1408" s="261"/>
      <c r="E1408" s="262">
        <v>49000</v>
      </c>
      <c r="F1408" s="262">
        <v>0</v>
      </c>
      <c r="G1408" s="284">
        <f>Tabla3[[#This Row],[INGRESOS]]-Tabla3[[#This Row],[EGRESOS]]</f>
        <v>-49000</v>
      </c>
      <c r="H1408" s="139"/>
      <c r="I1408" s="286">
        <v>1170</v>
      </c>
      <c r="J1408" s="136">
        <f>Tabla3[[#This Row],[EGRESOS]]/Tabla3[[#This Row],[TC]]</f>
        <v>41.880341880341881</v>
      </c>
      <c r="K1408" s="136">
        <f>Tabla3[[#This Row],[INGRESOS]]/Tabla3[[#This Row],[TC]]</f>
        <v>0</v>
      </c>
      <c r="L1408" s="287" t="s">
        <v>720</v>
      </c>
      <c r="M1408" s="287" t="s">
        <v>720</v>
      </c>
      <c r="N1408" s="287" t="s">
        <v>720</v>
      </c>
      <c r="O1408" s="287" t="s">
        <v>204</v>
      </c>
      <c r="P1408" s="287" t="s">
        <v>210</v>
      </c>
      <c r="Q1408" s="287" t="s">
        <v>230</v>
      </c>
      <c r="R1408" s="287" t="s">
        <v>849</v>
      </c>
      <c r="S1408" s="287"/>
      <c r="T1408" s="287"/>
      <c r="U1408" s="287" t="s">
        <v>258</v>
      </c>
      <c r="V1408" s="287"/>
      <c r="W1408" s="287" t="s">
        <v>306</v>
      </c>
      <c r="X1408" s="287" t="s">
        <v>29</v>
      </c>
      <c r="Y1408" s="287" t="s">
        <v>23</v>
      </c>
    </row>
    <row r="1409" spans="1:25" hidden="1" x14ac:dyDescent="0.25">
      <c r="A1409" s="283" t="s">
        <v>725</v>
      </c>
      <c r="B1409" s="260">
        <v>45813</v>
      </c>
      <c r="C1409" s="261" t="s">
        <v>719</v>
      </c>
      <c r="D1409" s="261"/>
      <c r="E1409" s="262">
        <v>66158</v>
      </c>
      <c r="F1409" s="262">
        <v>0</v>
      </c>
      <c r="G1409" s="284">
        <f>Tabla3[[#This Row],[INGRESOS]]-Tabla3[[#This Row],[EGRESOS]]</f>
        <v>-66158</v>
      </c>
      <c r="H1409" s="139"/>
      <c r="I1409" s="286">
        <v>1170</v>
      </c>
      <c r="J1409" s="136">
        <f>Tabla3[[#This Row],[EGRESOS]]/Tabla3[[#This Row],[TC]]</f>
        <v>56.545299145299147</v>
      </c>
      <c r="K1409" s="136">
        <f>Tabla3[[#This Row],[INGRESOS]]/Tabla3[[#This Row],[TC]]</f>
        <v>0</v>
      </c>
      <c r="L1409" s="287" t="s">
        <v>720</v>
      </c>
      <c r="M1409" s="287" t="s">
        <v>720</v>
      </c>
      <c r="N1409" s="287" t="s">
        <v>720</v>
      </c>
      <c r="O1409" s="287" t="s">
        <v>184</v>
      </c>
      <c r="P1409" s="287" t="s">
        <v>194</v>
      </c>
      <c r="Q1409" s="287" t="s">
        <v>248</v>
      </c>
      <c r="R1409" s="287" t="s">
        <v>227</v>
      </c>
      <c r="S1409" s="287" t="s">
        <v>311</v>
      </c>
      <c r="T1409" s="287"/>
      <c r="U1409" s="287" t="s">
        <v>277</v>
      </c>
      <c r="V1409" s="287" t="s">
        <v>311</v>
      </c>
      <c r="W1409" s="287" t="s">
        <v>306</v>
      </c>
      <c r="X1409" s="287" t="s">
        <v>103</v>
      </c>
      <c r="Y1409" s="287" t="s">
        <v>23</v>
      </c>
    </row>
    <row r="1410" spans="1:25" hidden="1" x14ac:dyDescent="0.25">
      <c r="A1410" s="283" t="s">
        <v>725</v>
      </c>
      <c r="B1410" s="260">
        <v>45813</v>
      </c>
      <c r="C1410" s="261" t="s">
        <v>719</v>
      </c>
      <c r="D1410" s="261"/>
      <c r="E1410" s="262">
        <v>100000</v>
      </c>
      <c r="F1410" s="262">
        <v>0</v>
      </c>
      <c r="G1410" s="284">
        <f>Tabla3[[#This Row],[INGRESOS]]-Tabla3[[#This Row],[EGRESOS]]</f>
        <v>-100000</v>
      </c>
      <c r="H1410" s="139"/>
      <c r="I1410" s="286">
        <v>1170</v>
      </c>
      <c r="J1410" s="136">
        <f>Tabla3[[#This Row],[EGRESOS]]/Tabla3[[#This Row],[TC]]</f>
        <v>85.470085470085465</v>
      </c>
      <c r="K1410" s="136">
        <f>Tabla3[[#This Row],[INGRESOS]]/Tabla3[[#This Row],[TC]]</f>
        <v>0</v>
      </c>
      <c r="L1410" s="287" t="s">
        <v>720</v>
      </c>
      <c r="M1410" s="287" t="s">
        <v>720</v>
      </c>
      <c r="N1410" s="287" t="s">
        <v>720</v>
      </c>
      <c r="O1410" s="287" t="s">
        <v>184</v>
      </c>
      <c r="P1410" s="287" t="s">
        <v>191</v>
      </c>
      <c r="Q1410" s="287" t="s">
        <v>192</v>
      </c>
      <c r="R1410" s="287"/>
      <c r="S1410" s="287" t="s">
        <v>431</v>
      </c>
      <c r="T1410" s="287"/>
      <c r="U1410" s="287" t="s">
        <v>266</v>
      </c>
      <c r="V1410" s="287"/>
      <c r="W1410" s="287" t="s">
        <v>306</v>
      </c>
      <c r="X1410" s="287" t="s">
        <v>98</v>
      </c>
      <c r="Y1410" s="287" t="s">
        <v>23</v>
      </c>
    </row>
    <row r="1411" spans="1:25" hidden="1" x14ac:dyDescent="0.25">
      <c r="A1411" s="283" t="s">
        <v>725</v>
      </c>
      <c r="B1411" s="260">
        <v>45809</v>
      </c>
      <c r="C1411" s="261" t="s">
        <v>719</v>
      </c>
      <c r="D1411" s="261"/>
      <c r="E1411" s="262">
        <v>32000</v>
      </c>
      <c r="F1411" s="262">
        <v>0</v>
      </c>
      <c r="G1411" s="284">
        <f>Tabla3[[#This Row],[INGRESOS]]-Tabla3[[#This Row],[EGRESOS]]</f>
        <v>-32000</v>
      </c>
      <c r="H1411" s="139"/>
      <c r="I1411" s="286">
        <v>1170</v>
      </c>
      <c r="J1411" s="136">
        <f>Tabla3[[#This Row],[EGRESOS]]/Tabla3[[#This Row],[TC]]</f>
        <v>27.350427350427349</v>
      </c>
      <c r="K1411" s="136">
        <f>Tabla3[[#This Row],[INGRESOS]]/Tabla3[[#This Row],[TC]]</f>
        <v>0</v>
      </c>
      <c r="L1411" s="287" t="s">
        <v>720</v>
      </c>
      <c r="M1411" s="287" t="s">
        <v>720</v>
      </c>
      <c r="N1411" s="287" t="s">
        <v>720</v>
      </c>
      <c r="O1411" s="287" t="s">
        <v>204</v>
      </c>
      <c r="P1411" s="287" t="s">
        <v>210</v>
      </c>
      <c r="Q1411" s="287" t="s">
        <v>229</v>
      </c>
      <c r="R1411" s="287" t="s">
        <v>850</v>
      </c>
      <c r="S1411" s="287" t="s">
        <v>851</v>
      </c>
      <c r="T1411" s="287"/>
      <c r="U1411" s="287" t="s">
        <v>260</v>
      </c>
      <c r="V1411" s="287"/>
      <c r="W1411" s="287" t="s">
        <v>306</v>
      </c>
      <c r="X1411" s="287" t="s">
        <v>29</v>
      </c>
      <c r="Y1411" s="287" t="s">
        <v>23</v>
      </c>
    </row>
    <row r="1412" spans="1:25" hidden="1" x14ac:dyDescent="0.25">
      <c r="A1412" s="283" t="s">
        <v>725</v>
      </c>
      <c r="B1412" s="260">
        <v>45813</v>
      </c>
      <c r="C1412" s="261" t="s">
        <v>719</v>
      </c>
      <c r="D1412" s="261"/>
      <c r="E1412" s="262">
        <v>0</v>
      </c>
      <c r="F1412" s="262">
        <v>700000</v>
      </c>
      <c r="G1412" s="284">
        <f>Tabla3[[#This Row],[INGRESOS]]-Tabla3[[#This Row],[EGRESOS]]</f>
        <v>700000</v>
      </c>
      <c r="H1412" s="139"/>
      <c r="I1412" s="286">
        <v>1170</v>
      </c>
      <c r="J1412" s="136">
        <f>Tabla3[[#This Row],[EGRESOS]]/Tabla3[[#This Row],[TC]]</f>
        <v>0</v>
      </c>
      <c r="K1412" s="136">
        <f>Tabla3[[#This Row],[INGRESOS]]/Tabla3[[#This Row],[TC]]</f>
        <v>598.29059829059827</v>
      </c>
      <c r="L1412" s="287" t="s">
        <v>720</v>
      </c>
      <c r="M1412" s="287" t="s">
        <v>720</v>
      </c>
      <c r="N1412" s="287" t="s">
        <v>720</v>
      </c>
      <c r="O1412" s="287" t="s">
        <v>184</v>
      </c>
      <c r="P1412" s="287" t="s">
        <v>237</v>
      </c>
      <c r="Q1412" s="287" t="s">
        <v>236</v>
      </c>
      <c r="R1412" s="287" t="s">
        <v>852</v>
      </c>
      <c r="S1412" s="287" t="s">
        <v>418</v>
      </c>
      <c r="T1412" s="287"/>
      <c r="U1412" s="287" t="s">
        <v>273</v>
      </c>
      <c r="V1412" s="287"/>
      <c r="W1412" s="287" t="s">
        <v>306</v>
      </c>
      <c r="X1412" s="287" t="s">
        <v>23</v>
      </c>
      <c r="Y1412" s="287" t="s">
        <v>39</v>
      </c>
    </row>
    <row r="1413" spans="1:25" hidden="1" x14ac:dyDescent="0.25">
      <c r="A1413" s="283" t="s">
        <v>725</v>
      </c>
      <c r="B1413" s="260">
        <v>45813</v>
      </c>
      <c r="C1413" s="261" t="s">
        <v>719</v>
      </c>
      <c r="D1413" s="261"/>
      <c r="E1413" s="262">
        <v>200000</v>
      </c>
      <c r="F1413" s="262">
        <v>0</v>
      </c>
      <c r="G1413" s="284">
        <f>Tabla3[[#This Row],[INGRESOS]]-Tabla3[[#This Row],[EGRESOS]]</f>
        <v>-200000</v>
      </c>
      <c r="H1413" s="139"/>
      <c r="I1413" s="286">
        <v>1170</v>
      </c>
      <c r="J1413" s="136">
        <f>Tabla3[[#This Row],[EGRESOS]]/Tabla3[[#This Row],[TC]]</f>
        <v>170.94017094017093</v>
      </c>
      <c r="K1413" s="136">
        <f>Tabla3[[#This Row],[INGRESOS]]/Tabla3[[#This Row],[TC]]</f>
        <v>0</v>
      </c>
      <c r="L1413" s="287" t="s">
        <v>720</v>
      </c>
      <c r="M1413" s="287" t="s">
        <v>720</v>
      </c>
      <c r="N1413" s="287" t="s">
        <v>720</v>
      </c>
      <c r="O1413" s="287" t="s">
        <v>184</v>
      </c>
      <c r="P1413" s="287" t="s">
        <v>191</v>
      </c>
      <c r="Q1413" s="287" t="s">
        <v>192</v>
      </c>
      <c r="R1413" s="287"/>
      <c r="S1413" s="287" t="s">
        <v>431</v>
      </c>
      <c r="T1413" s="287"/>
      <c r="U1413" s="287" t="s">
        <v>266</v>
      </c>
      <c r="V1413" s="287"/>
      <c r="W1413" s="287" t="s">
        <v>306</v>
      </c>
      <c r="X1413" s="287" t="s">
        <v>98</v>
      </c>
      <c r="Y1413" s="287" t="s">
        <v>23</v>
      </c>
    </row>
    <row r="1414" spans="1:25" hidden="1" x14ac:dyDescent="0.25">
      <c r="A1414" s="283" t="s">
        <v>725</v>
      </c>
      <c r="B1414" s="260">
        <v>45827</v>
      </c>
      <c r="C1414" s="261" t="s">
        <v>719</v>
      </c>
      <c r="D1414" s="261"/>
      <c r="E1414" s="262">
        <v>0</v>
      </c>
      <c r="F1414" s="262">
        <v>17473</v>
      </c>
      <c r="G1414" s="284">
        <f>Tabla3[[#This Row],[INGRESOS]]-Tabla3[[#This Row],[EGRESOS]]</f>
        <v>17473</v>
      </c>
      <c r="H1414" s="139"/>
      <c r="I1414" s="286">
        <v>1170</v>
      </c>
      <c r="J1414" s="136">
        <f>Tabla3[[#This Row],[EGRESOS]]/Tabla3[[#This Row],[TC]]</f>
        <v>0</v>
      </c>
      <c r="K1414" s="136">
        <f>Tabla3[[#This Row],[INGRESOS]]/Tabla3[[#This Row],[TC]]</f>
        <v>14.934188034188034</v>
      </c>
      <c r="L1414" s="287" t="s">
        <v>720</v>
      </c>
      <c r="M1414" s="287" t="s">
        <v>720</v>
      </c>
      <c r="N1414" s="287" t="s">
        <v>720</v>
      </c>
      <c r="O1414" s="287" t="s">
        <v>184</v>
      </c>
      <c r="P1414" s="287" t="s">
        <v>194</v>
      </c>
      <c r="Q1414" s="287" t="s">
        <v>236</v>
      </c>
      <c r="R1414" s="287"/>
      <c r="S1414" s="287" t="s">
        <v>311</v>
      </c>
      <c r="T1414" s="287"/>
      <c r="U1414" s="287" t="s">
        <v>272</v>
      </c>
      <c r="V1414" s="287" t="s">
        <v>311</v>
      </c>
      <c r="W1414" s="287" t="s">
        <v>306</v>
      </c>
      <c r="X1414" s="287" t="s">
        <v>23</v>
      </c>
      <c r="Y1414" s="287" t="s">
        <v>97</v>
      </c>
    </row>
    <row r="1415" spans="1:25" hidden="1" x14ac:dyDescent="0.25">
      <c r="A1415" s="283" t="s">
        <v>725</v>
      </c>
      <c r="B1415" s="260">
        <v>45827</v>
      </c>
      <c r="C1415" s="261" t="s">
        <v>719</v>
      </c>
      <c r="D1415" s="261"/>
      <c r="E1415" s="262">
        <v>17473</v>
      </c>
      <c r="F1415" s="262">
        <v>0</v>
      </c>
      <c r="G1415" s="284">
        <f>Tabla3[[#This Row],[INGRESOS]]-Tabla3[[#This Row],[EGRESOS]]</f>
        <v>-17473</v>
      </c>
      <c r="H1415" s="139"/>
      <c r="I1415" s="286">
        <v>1170</v>
      </c>
      <c r="J1415" s="136">
        <f>Tabla3[[#This Row],[EGRESOS]]/Tabla3[[#This Row],[TC]]</f>
        <v>14.934188034188034</v>
      </c>
      <c r="K1415" s="136">
        <f>Tabla3[[#This Row],[INGRESOS]]/Tabla3[[#This Row],[TC]]</f>
        <v>0</v>
      </c>
      <c r="L1415" s="287" t="s">
        <v>720</v>
      </c>
      <c r="M1415" s="287" t="s">
        <v>720</v>
      </c>
      <c r="N1415" s="287" t="s">
        <v>720</v>
      </c>
      <c r="O1415" s="287" t="s">
        <v>184</v>
      </c>
      <c r="P1415" s="287" t="s">
        <v>191</v>
      </c>
      <c r="Q1415" s="287" t="s">
        <v>193</v>
      </c>
      <c r="R1415" s="287" t="s">
        <v>706</v>
      </c>
      <c r="S1415" s="287" t="s">
        <v>313</v>
      </c>
      <c r="T1415" s="287"/>
      <c r="U1415" s="287" t="s">
        <v>266</v>
      </c>
      <c r="V1415" s="287"/>
      <c r="W1415" s="287" t="s">
        <v>306</v>
      </c>
      <c r="X1415" s="287" t="s">
        <v>98</v>
      </c>
      <c r="Y1415" s="287" t="s">
        <v>23</v>
      </c>
    </row>
    <row r="1416" spans="1:25" hidden="1" x14ac:dyDescent="0.25">
      <c r="A1416" s="283" t="s">
        <v>725</v>
      </c>
      <c r="B1416" s="260">
        <v>45827</v>
      </c>
      <c r="C1416" s="261" t="s">
        <v>719</v>
      </c>
      <c r="D1416" s="261"/>
      <c r="E1416" s="262">
        <v>0</v>
      </c>
      <c r="F1416" s="262">
        <v>350000</v>
      </c>
      <c r="G1416" s="284">
        <f>Tabla3[[#This Row],[INGRESOS]]-Tabla3[[#This Row],[EGRESOS]]</f>
        <v>350000</v>
      </c>
      <c r="H1416" s="139"/>
      <c r="I1416" s="286">
        <v>1170</v>
      </c>
      <c r="J1416" s="136">
        <f>Tabla3[[#This Row],[EGRESOS]]/Tabla3[[#This Row],[TC]]</f>
        <v>0</v>
      </c>
      <c r="K1416" s="136">
        <f>Tabla3[[#This Row],[INGRESOS]]/Tabla3[[#This Row],[TC]]</f>
        <v>299.14529914529913</v>
      </c>
      <c r="L1416" s="287" t="s">
        <v>720</v>
      </c>
      <c r="M1416" s="287" t="s">
        <v>720</v>
      </c>
      <c r="N1416" s="287" t="s">
        <v>720</v>
      </c>
      <c r="O1416" s="287" t="s">
        <v>184</v>
      </c>
      <c r="P1416" s="287" t="s">
        <v>237</v>
      </c>
      <c r="Q1416" s="287" t="s">
        <v>886</v>
      </c>
      <c r="R1416" s="287" t="s">
        <v>885</v>
      </c>
      <c r="S1416" s="287" t="s">
        <v>365</v>
      </c>
      <c r="T1416" s="287"/>
      <c r="U1416" s="287" t="s">
        <v>273</v>
      </c>
      <c r="V1416" s="287"/>
      <c r="W1416" s="287" t="s">
        <v>306</v>
      </c>
      <c r="X1416" s="287" t="s">
        <v>23</v>
      </c>
      <c r="Y1416" s="287" t="s">
        <v>45</v>
      </c>
    </row>
    <row r="1417" spans="1:25" x14ac:dyDescent="0.25">
      <c r="A1417" s="283" t="s">
        <v>725</v>
      </c>
      <c r="B1417" s="260">
        <v>45827</v>
      </c>
      <c r="C1417" s="261" t="s">
        <v>719</v>
      </c>
      <c r="D1417" s="261"/>
      <c r="E1417" s="262">
        <v>350000</v>
      </c>
      <c r="F1417" s="262">
        <v>0</v>
      </c>
      <c r="G1417" s="284">
        <f>Tabla3[[#This Row],[INGRESOS]]-Tabla3[[#This Row],[EGRESOS]]</f>
        <v>-350000</v>
      </c>
      <c r="H1417" s="139"/>
      <c r="I1417" s="286">
        <v>1170</v>
      </c>
      <c r="J1417" s="136">
        <f>Tabla3[[#This Row],[EGRESOS]]/Tabla3[[#This Row],[TC]]</f>
        <v>299.14529914529913</v>
      </c>
      <c r="K1417" s="136">
        <f>Tabla3[[#This Row],[INGRESOS]]/Tabla3[[#This Row],[TC]]</f>
        <v>0</v>
      </c>
      <c r="L1417" s="287" t="s">
        <v>720</v>
      </c>
      <c r="M1417" s="287" t="s">
        <v>720</v>
      </c>
      <c r="N1417" s="287" t="s">
        <v>720</v>
      </c>
      <c r="O1417" s="287" t="s">
        <v>742</v>
      </c>
      <c r="P1417" s="287" t="s">
        <v>220</v>
      </c>
      <c r="Q1417" s="287" t="s">
        <v>736</v>
      </c>
      <c r="R1417" s="287" t="s">
        <v>142</v>
      </c>
      <c r="S1417" s="287" t="s">
        <v>876</v>
      </c>
      <c r="T1417" s="287"/>
      <c r="U1417" s="287" t="s">
        <v>258</v>
      </c>
      <c r="V1417" s="287"/>
      <c r="W1417" s="287" t="s">
        <v>306</v>
      </c>
      <c r="X1417" s="287" t="s">
        <v>29</v>
      </c>
      <c r="Y1417" s="287" t="s">
        <v>23</v>
      </c>
    </row>
    <row r="1418" spans="1:25" hidden="1" x14ac:dyDescent="0.25">
      <c r="A1418" s="283" t="s">
        <v>725</v>
      </c>
      <c r="B1418" s="257">
        <v>45831</v>
      </c>
      <c r="C1418" s="261" t="s">
        <v>719</v>
      </c>
      <c r="D1418" s="261"/>
      <c r="E1418" s="262">
        <v>0</v>
      </c>
      <c r="F1418" s="262">
        <f>150000+53800+390026</f>
        <v>593826</v>
      </c>
      <c r="G1418" s="284">
        <f>Tabla3[[#This Row],[INGRESOS]]-Tabla3[[#This Row],[EGRESOS]]</f>
        <v>593826</v>
      </c>
      <c r="H1418" s="139"/>
      <c r="I1418" s="286">
        <v>1170</v>
      </c>
      <c r="J1418" s="136">
        <f>Tabla3[[#This Row],[EGRESOS]]/Tabla3[[#This Row],[TC]]</f>
        <v>0</v>
      </c>
      <c r="K1418" s="136">
        <f>Tabla3[[#This Row],[INGRESOS]]/Tabla3[[#This Row],[TC]]</f>
        <v>507.54358974358973</v>
      </c>
      <c r="L1418" s="287" t="s">
        <v>720</v>
      </c>
      <c r="M1418" s="287" t="s">
        <v>720</v>
      </c>
      <c r="N1418" s="287" t="s">
        <v>720</v>
      </c>
      <c r="O1418" s="287" t="s">
        <v>184</v>
      </c>
      <c r="P1418" s="287" t="s">
        <v>237</v>
      </c>
      <c r="Q1418" s="287" t="s">
        <v>236</v>
      </c>
      <c r="R1418" s="287" t="s">
        <v>918</v>
      </c>
      <c r="S1418" s="287" t="s">
        <v>418</v>
      </c>
      <c r="T1418" s="287"/>
      <c r="U1418" s="287" t="s">
        <v>273</v>
      </c>
      <c r="V1418" s="287"/>
      <c r="W1418" s="287" t="s">
        <v>306</v>
      </c>
      <c r="X1418" s="287" t="s">
        <v>23</v>
      </c>
      <c r="Y1418" s="287" t="s">
        <v>39</v>
      </c>
    </row>
    <row r="1419" spans="1:25" hidden="1" x14ac:dyDescent="0.25">
      <c r="A1419" s="283" t="s">
        <v>725</v>
      </c>
      <c r="B1419" s="260">
        <v>45831</v>
      </c>
      <c r="C1419" s="261" t="s">
        <v>719</v>
      </c>
      <c r="D1419" s="261"/>
      <c r="E1419" s="262">
        <v>150000</v>
      </c>
      <c r="F1419" s="262">
        <v>0</v>
      </c>
      <c r="G1419" s="284">
        <f>Tabla3[[#This Row],[INGRESOS]]-Tabla3[[#This Row],[EGRESOS]]</f>
        <v>-150000</v>
      </c>
      <c r="H1419" s="139"/>
      <c r="I1419" s="286">
        <v>1170</v>
      </c>
      <c r="J1419" s="136">
        <f>Tabla3[[#This Row],[EGRESOS]]/Tabla3[[#This Row],[TC]]</f>
        <v>128.2051282051282</v>
      </c>
      <c r="K1419" s="136">
        <f>Tabla3[[#This Row],[INGRESOS]]/Tabla3[[#This Row],[TC]]</f>
        <v>0</v>
      </c>
      <c r="L1419" s="287" t="s">
        <v>720</v>
      </c>
      <c r="M1419" s="287" t="s">
        <v>720</v>
      </c>
      <c r="N1419" s="287" t="s">
        <v>720</v>
      </c>
      <c r="O1419" s="287" t="s">
        <v>184</v>
      </c>
      <c r="P1419" s="287" t="s">
        <v>191</v>
      </c>
      <c r="Q1419" s="287" t="s">
        <v>192</v>
      </c>
      <c r="R1419" s="287"/>
      <c r="S1419" s="287" t="s">
        <v>431</v>
      </c>
      <c r="T1419" s="287"/>
      <c r="U1419" s="287" t="s">
        <v>266</v>
      </c>
      <c r="V1419" s="287"/>
      <c r="W1419" s="287" t="s">
        <v>306</v>
      </c>
      <c r="X1419" s="287" t="s">
        <v>98</v>
      </c>
      <c r="Y1419" s="287" t="s">
        <v>23</v>
      </c>
    </row>
    <row r="1420" spans="1:25" x14ac:dyDescent="0.25">
      <c r="A1420" s="283" t="s">
        <v>725</v>
      </c>
      <c r="B1420" s="260">
        <v>45831</v>
      </c>
      <c r="C1420" s="261" t="s">
        <v>719</v>
      </c>
      <c r="D1420" s="261"/>
      <c r="E1420" s="262">
        <v>53800</v>
      </c>
      <c r="F1420" s="262">
        <v>0</v>
      </c>
      <c r="G1420" s="284">
        <f>Tabla3[[#This Row],[INGRESOS]]-Tabla3[[#This Row],[EGRESOS]]</f>
        <v>-53800</v>
      </c>
      <c r="H1420" s="139"/>
      <c r="I1420" s="286">
        <v>1170</v>
      </c>
      <c r="J1420" s="136">
        <f>Tabla3[[#This Row],[EGRESOS]]/Tabla3[[#This Row],[TC]]</f>
        <v>45.982905982905983</v>
      </c>
      <c r="K1420" s="136">
        <f>Tabla3[[#This Row],[INGRESOS]]/Tabla3[[#This Row],[TC]]</f>
        <v>0</v>
      </c>
      <c r="L1420" s="287" t="s">
        <v>720</v>
      </c>
      <c r="M1420" s="287" t="s">
        <v>720</v>
      </c>
      <c r="N1420" s="287" t="s">
        <v>720</v>
      </c>
      <c r="O1420" s="287" t="s">
        <v>742</v>
      </c>
      <c r="P1420" s="287" t="s">
        <v>220</v>
      </c>
      <c r="Q1420" s="287" t="s">
        <v>788</v>
      </c>
      <c r="R1420" s="287" t="s">
        <v>142</v>
      </c>
      <c r="S1420" s="287" t="s">
        <v>848</v>
      </c>
      <c r="T1420" s="287"/>
      <c r="U1420" s="287" t="s">
        <v>258</v>
      </c>
      <c r="V1420" s="287"/>
      <c r="W1420" s="287" t="s">
        <v>306</v>
      </c>
      <c r="X1420" s="287" t="s">
        <v>29</v>
      </c>
      <c r="Y1420" s="287" t="s">
        <v>23</v>
      </c>
    </row>
    <row r="1421" spans="1:25" x14ac:dyDescent="0.25">
      <c r="A1421" s="283" t="s">
        <v>725</v>
      </c>
      <c r="B1421" s="260">
        <v>45831</v>
      </c>
      <c r="C1421" s="261" t="s">
        <v>719</v>
      </c>
      <c r="D1421" s="261"/>
      <c r="E1421" s="262">
        <v>390026</v>
      </c>
      <c r="F1421" s="262">
        <v>0</v>
      </c>
      <c r="G1421" s="284">
        <f>Tabla3[[#This Row],[INGRESOS]]-Tabla3[[#This Row],[EGRESOS]]</f>
        <v>-390026</v>
      </c>
      <c r="H1421" s="139"/>
      <c r="I1421" s="286">
        <v>1170</v>
      </c>
      <c r="J1421" s="136">
        <f>Tabla3[[#This Row],[EGRESOS]]/Tabla3[[#This Row],[TC]]</f>
        <v>333.35555555555555</v>
      </c>
      <c r="K1421" s="136">
        <f>Tabla3[[#This Row],[INGRESOS]]/Tabla3[[#This Row],[TC]]</f>
        <v>0</v>
      </c>
      <c r="L1421" s="287" t="s">
        <v>720</v>
      </c>
      <c r="M1421" s="287" t="s">
        <v>720</v>
      </c>
      <c r="N1421" s="287" t="s">
        <v>720</v>
      </c>
      <c r="O1421" s="287" t="s">
        <v>742</v>
      </c>
      <c r="P1421" s="287" t="s">
        <v>220</v>
      </c>
      <c r="Q1421" s="287" t="s">
        <v>736</v>
      </c>
      <c r="R1421" s="287" t="s">
        <v>142</v>
      </c>
      <c r="S1421" s="287" t="s">
        <v>876</v>
      </c>
      <c r="T1421" s="287"/>
      <c r="U1421" s="287" t="s">
        <v>258</v>
      </c>
      <c r="V1421" s="287"/>
      <c r="W1421" s="287" t="s">
        <v>306</v>
      </c>
      <c r="X1421" s="287" t="s">
        <v>29</v>
      </c>
      <c r="Y1421" s="287" t="s">
        <v>23</v>
      </c>
    </row>
    <row r="1422" spans="1:25" hidden="1" x14ac:dyDescent="0.25">
      <c r="A1422" s="283" t="s">
        <v>726</v>
      </c>
      <c r="B1422" s="260">
        <v>45846</v>
      </c>
      <c r="C1422" s="261" t="s">
        <v>719</v>
      </c>
      <c r="D1422" s="261"/>
      <c r="E1422" s="262">
        <v>0</v>
      </c>
      <c r="F1422" s="262">
        <v>1125403</v>
      </c>
      <c r="G1422" s="284">
        <f>Tabla3[[#This Row],[INGRESOS]]-Tabla3[[#This Row],[EGRESOS]]</f>
        <v>1125403</v>
      </c>
      <c r="H1422" s="139"/>
      <c r="I1422" s="286">
        <v>1170</v>
      </c>
      <c r="J1422" s="136">
        <f>Tabla3[[#This Row],[EGRESOS]]/Tabla3[[#This Row],[TC]]</f>
        <v>0</v>
      </c>
      <c r="K1422" s="136">
        <f>Tabla3[[#This Row],[INGRESOS]]/Tabla3[[#This Row],[TC]]</f>
        <v>961.88290598290598</v>
      </c>
      <c r="L1422" s="287" t="s">
        <v>720</v>
      </c>
      <c r="M1422" s="287" t="s">
        <v>720</v>
      </c>
      <c r="N1422" s="287" t="s">
        <v>720</v>
      </c>
      <c r="O1422" s="287" t="s">
        <v>184</v>
      </c>
      <c r="P1422" s="287" t="s">
        <v>237</v>
      </c>
      <c r="Q1422" s="287" t="s">
        <v>248</v>
      </c>
      <c r="R1422" s="287"/>
      <c r="S1422" s="287" t="s">
        <v>418</v>
      </c>
      <c r="T1422" s="287"/>
      <c r="U1422" s="287" t="s">
        <v>273</v>
      </c>
      <c r="V1422" s="287"/>
      <c r="W1422" s="287" t="s">
        <v>306</v>
      </c>
      <c r="X1422" s="287" t="s">
        <v>953</v>
      </c>
      <c r="Y1422" s="287" t="s">
        <v>23</v>
      </c>
    </row>
    <row r="1423" spans="1:25" hidden="1" x14ac:dyDescent="0.25">
      <c r="A1423" s="283" t="s">
        <v>726</v>
      </c>
      <c r="B1423" s="260">
        <v>45846</v>
      </c>
      <c r="C1423" s="261" t="s">
        <v>719</v>
      </c>
      <c r="D1423" s="261"/>
      <c r="E1423" s="262">
        <v>70000</v>
      </c>
      <c r="F1423" s="262">
        <v>0</v>
      </c>
      <c r="G1423" s="284">
        <f>Tabla3[[#This Row],[INGRESOS]]-Tabla3[[#This Row],[EGRESOS]]</f>
        <v>-70000</v>
      </c>
      <c r="H1423" s="139"/>
      <c r="I1423" s="286">
        <v>1170</v>
      </c>
      <c r="J1423" s="136">
        <f>Tabla3[[#This Row],[EGRESOS]]/Tabla3[[#This Row],[TC]]</f>
        <v>59.82905982905983</v>
      </c>
      <c r="K1423" s="136">
        <f>Tabla3[[#This Row],[INGRESOS]]/Tabla3[[#This Row],[TC]]</f>
        <v>0</v>
      </c>
      <c r="L1423" s="287" t="s">
        <v>720</v>
      </c>
      <c r="M1423" s="287" t="s">
        <v>720</v>
      </c>
      <c r="N1423" s="287" t="s">
        <v>720</v>
      </c>
      <c r="O1423" s="287" t="s">
        <v>184</v>
      </c>
      <c r="P1423" s="287" t="s">
        <v>191</v>
      </c>
      <c r="Q1423" s="287" t="s">
        <v>192</v>
      </c>
      <c r="R1423" s="287"/>
      <c r="S1423" s="287" t="s">
        <v>972</v>
      </c>
      <c r="T1423" s="287"/>
      <c r="U1423" s="287" t="s">
        <v>266</v>
      </c>
      <c r="V1423" s="287"/>
      <c r="W1423" s="287" t="s">
        <v>306</v>
      </c>
      <c r="X1423" s="287" t="s">
        <v>98</v>
      </c>
      <c r="Y1423" s="287" t="s">
        <v>23</v>
      </c>
    </row>
    <row r="1424" spans="1:25" hidden="1" x14ac:dyDescent="0.25">
      <c r="A1424" s="283" t="s">
        <v>726</v>
      </c>
      <c r="B1424" s="260">
        <v>45846</v>
      </c>
      <c r="C1424" s="261" t="s">
        <v>719</v>
      </c>
      <c r="D1424" s="261"/>
      <c r="E1424" s="262">
        <v>30000</v>
      </c>
      <c r="F1424" s="262">
        <v>0</v>
      </c>
      <c r="G1424" s="284">
        <f>Tabla3[[#This Row],[INGRESOS]]-Tabla3[[#This Row],[EGRESOS]]</f>
        <v>-30000</v>
      </c>
      <c r="H1424" s="139"/>
      <c r="I1424" s="286">
        <v>1170</v>
      </c>
      <c r="J1424" s="136">
        <f>Tabla3[[#This Row],[EGRESOS]]/Tabla3[[#This Row],[TC]]</f>
        <v>25.641025641025642</v>
      </c>
      <c r="K1424" s="136">
        <f>Tabla3[[#This Row],[INGRESOS]]/Tabla3[[#This Row],[TC]]</f>
        <v>0</v>
      </c>
      <c r="L1424" s="287" t="s">
        <v>720</v>
      </c>
      <c r="M1424" s="287" t="s">
        <v>720</v>
      </c>
      <c r="N1424" s="287" t="s">
        <v>720</v>
      </c>
      <c r="O1424" s="287" t="s">
        <v>223</v>
      </c>
      <c r="P1424" s="287" t="s">
        <v>233</v>
      </c>
      <c r="Q1424" s="287" t="s">
        <v>234</v>
      </c>
      <c r="R1424" s="287"/>
      <c r="S1424" s="287" t="s">
        <v>345</v>
      </c>
      <c r="T1424" s="287"/>
      <c r="U1424" s="287" t="s">
        <v>261</v>
      </c>
      <c r="V1424" s="287"/>
      <c r="W1424" s="287" t="s">
        <v>306</v>
      </c>
      <c r="X1424" s="287" t="s">
        <v>98</v>
      </c>
      <c r="Y1424" s="287" t="s">
        <v>23</v>
      </c>
    </row>
    <row r="1425" spans="1:25" hidden="1" x14ac:dyDescent="0.25">
      <c r="A1425" s="283" t="s">
        <v>726</v>
      </c>
      <c r="B1425" s="260">
        <v>45846</v>
      </c>
      <c r="C1425" s="261" t="s">
        <v>719</v>
      </c>
      <c r="D1425" s="261"/>
      <c r="E1425" s="262">
        <v>150000</v>
      </c>
      <c r="F1425" s="262">
        <v>0</v>
      </c>
      <c r="G1425" s="284">
        <f>Tabla3[[#This Row],[INGRESOS]]-Tabla3[[#This Row],[EGRESOS]]</f>
        <v>-150000</v>
      </c>
      <c r="H1425" s="139"/>
      <c r="I1425" s="286">
        <v>1170</v>
      </c>
      <c r="J1425" s="136">
        <f>Tabla3[[#This Row],[EGRESOS]]/Tabla3[[#This Row],[TC]]</f>
        <v>128.2051282051282</v>
      </c>
      <c r="K1425" s="136">
        <f>Tabla3[[#This Row],[INGRESOS]]/Tabla3[[#This Row],[TC]]</f>
        <v>0</v>
      </c>
      <c r="L1425" s="287" t="s">
        <v>720</v>
      </c>
      <c r="M1425" s="287" t="s">
        <v>720</v>
      </c>
      <c r="N1425" s="287" t="s">
        <v>720</v>
      </c>
      <c r="O1425" s="287" t="s">
        <v>184</v>
      </c>
      <c r="P1425" s="287" t="s">
        <v>191</v>
      </c>
      <c r="Q1425" s="287" t="s">
        <v>192</v>
      </c>
      <c r="R1425" s="287"/>
      <c r="S1425" s="287" t="s">
        <v>431</v>
      </c>
      <c r="T1425" s="287"/>
      <c r="U1425" s="287" t="s">
        <v>266</v>
      </c>
      <c r="V1425" s="287"/>
      <c r="W1425" s="287" t="s">
        <v>306</v>
      </c>
      <c r="X1425" s="287" t="s">
        <v>98</v>
      </c>
      <c r="Y1425" s="287" t="s">
        <v>23</v>
      </c>
    </row>
    <row r="1426" spans="1:25" x14ac:dyDescent="0.25">
      <c r="A1426" s="283" t="s">
        <v>726</v>
      </c>
      <c r="B1426" s="260">
        <v>45846</v>
      </c>
      <c r="C1426" s="261" t="s">
        <v>719</v>
      </c>
      <c r="D1426" s="261"/>
      <c r="E1426" s="262">
        <v>1862</v>
      </c>
      <c r="F1426" s="262">
        <v>0</v>
      </c>
      <c r="G1426" s="284">
        <f>Tabla3[[#This Row],[INGRESOS]]-Tabla3[[#This Row],[EGRESOS]]</f>
        <v>-1862</v>
      </c>
      <c r="H1426" s="139"/>
      <c r="I1426" s="286">
        <v>1170</v>
      </c>
      <c r="J1426" s="136">
        <f>Tabla3[[#This Row],[EGRESOS]]/Tabla3[[#This Row],[TC]]</f>
        <v>1.5914529914529914</v>
      </c>
      <c r="K1426" s="136">
        <f>Tabla3[[#This Row],[INGRESOS]]/Tabla3[[#This Row],[TC]]</f>
        <v>0</v>
      </c>
      <c r="L1426" s="287" t="s">
        <v>720</v>
      </c>
      <c r="M1426" s="287" t="s">
        <v>720</v>
      </c>
      <c r="N1426" s="287" t="s">
        <v>720</v>
      </c>
      <c r="O1426" s="287" t="s">
        <v>742</v>
      </c>
      <c r="P1426" s="287" t="s">
        <v>220</v>
      </c>
      <c r="Q1426" s="287" t="s">
        <v>788</v>
      </c>
      <c r="R1426" s="287" t="s">
        <v>142</v>
      </c>
      <c r="S1426" s="287" t="s">
        <v>848</v>
      </c>
      <c r="T1426" s="287"/>
      <c r="U1426" s="287" t="s">
        <v>258</v>
      </c>
      <c r="V1426" s="287"/>
      <c r="W1426" s="287" t="s">
        <v>306</v>
      </c>
      <c r="X1426" s="287" t="s">
        <v>29</v>
      </c>
      <c r="Y1426" s="287" t="s">
        <v>23</v>
      </c>
    </row>
    <row r="1427" spans="1:25" x14ac:dyDescent="0.25">
      <c r="A1427" s="283" t="s">
        <v>726</v>
      </c>
      <c r="B1427" s="260">
        <v>45846</v>
      </c>
      <c r="C1427" s="261" t="s">
        <v>719</v>
      </c>
      <c r="D1427" s="261"/>
      <c r="E1427" s="262">
        <v>70635</v>
      </c>
      <c r="F1427" s="262">
        <v>0</v>
      </c>
      <c r="G1427" s="284">
        <f>Tabla3[[#This Row],[INGRESOS]]-Tabla3[[#This Row],[EGRESOS]]</f>
        <v>-70635</v>
      </c>
      <c r="H1427" s="139"/>
      <c r="I1427" s="286">
        <v>1170</v>
      </c>
      <c r="J1427" s="136">
        <f>Tabla3[[#This Row],[EGRESOS]]/Tabla3[[#This Row],[TC]]</f>
        <v>60.371794871794869</v>
      </c>
      <c r="K1427" s="136">
        <f>Tabla3[[#This Row],[INGRESOS]]/Tabla3[[#This Row],[TC]]</f>
        <v>0</v>
      </c>
      <c r="L1427" s="287" t="s">
        <v>720</v>
      </c>
      <c r="M1427" s="287" t="s">
        <v>720</v>
      </c>
      <c r="N1427" s="287" t="s">
        <v>720</v>
      </c>
      <c r="O1427" s="287" t="s">
        <v>742</v>
      </c>
      <c r="P1427" s="287" t="s">
        <v>220</v>
      </c>
      <c r="Q1427" s="287" t="s">
        <v>788</v>
      </c>
      <c r="R1427" s="287" t="s">
        <v>142</v>
      </c>
      <c r="S1427" s="287" t="s">
        <v>848</v>
      </c>
      <c r="T1427" s="287"/>
      <c r="U1427" s="287" t="s">
        <v>258</v>
      </c>
      <c r="V1427" s="287"/>
      <c r="W1427" s="287" t="s">
        <v>306</v>
      </c>
      <c r="X1427" s="287" t="s">
        <v>29</v>
      </c>
      <c r="Y1427" s="287" t="s">
        <v>23</v>
      </c>
    </row>
    <row r="1428" spans="1:25" hidden="1" x14ac:dyDescent="0.25">
      <c r="A1428" s="283" t="s">
        <v>726</v>
      </c>
      <c r="B1428" s="260">
        <v>45846</v>
      </c>
      <c r="C1428" s="261" t="s">
        <v>719</v>
      </c>
      <c r="D1428" s="261"/>
      <c r="E1428" s="262">
        <v>1552100</v>
      </c>
      <c r="F1428" s="262">
        <v>0</v>
      </c>
      <c r="G1428" s="284">
        <f>Tabla3[[#This Row],[INGRESOS]]-Tabla3[[#This Row],[EGRESOS]]</f>
        <v>-1552100</v>
      </c>
      <c r="H1428" s="139"/>
      <c r="I1428" s="286">
        <v>1170</v>
      </c>
      <c r="J1428" s="136">
        <f>Tabla3[[#This Row],[EGRESOS]]/Tabla3[[#This Row],[TC]]</f>
        <v>1326.5811965811965</v>
      </c>
      <c r="K1428" s="136">
        <f>Tabla3[[#This Row],[INGRESOS]]/Tabla3[[#This Row],[TC]]</f>
        <v>0</v>
      </c>
      <c r="L1428" s="287" t="s">
        <v>720</v>
      </c>
      <c r="M1428" s="287" t="s">
        <v>720</v>
      </c>
      <c r="N1428" s="287" t="s">
        <v>720</v>
      </c>
      <c r="O1428" s="287" t="s">
        <v>184</v>
      </c>
      <c r="P1428" s="287" t="s">
        <v>191</v>
      </c>
      <c r="Q1428" s="287" t="s">
        <v>193</v>
      </c>
      <c r="R1428" s="287" t="s">
        <v>973</v>
      </c>
      <c r="S1428" s="287" t="s">
        <v>313</v>
      </c>
      <c r="T1428" s="287"/>
      <c r="U1428" s="287" t="s">
        <v>266</v>
      </c>
      <c r="V1428" s="287"/>
      <c r="W1428" s="287" t="s">
        <v>306</v>
      </c>
      <c r="X1428" s="287" t="s">
        <v>98</v>
      </c>
      <c r="Y1428" s="287" t="s">
        <v>23</v>
      </c>
    </row>
    <row r="1429" spans="1:25" hidden="1" x14ac:dyDescent="0.25">
      <c r="A1429" s="277" t="s">
        <v>726</v>
      </c>
      <c r="B1429" s="278">
        <v>45854</v>
      </c>
      <c r="C1429" s="279" t="s">
        <v>542</v>
      </c>
      <c r="D1429" s="279"/>
      <c r="E1429" s="280">
        <v>0</v>
      </c>
      <c r="F1429" s="280">
        <v>311050</v>
      </c>
      <c r="G1429" s="387">
        <f>Tabla3[[#This Row],[INGRESOS]]-Tabla3[[#This Row],[EGRESOS]]</f>
        <v>311050</v>
      </c>
      <c r="H1429" s="388"/>
      <c r="I1429" s="286">
        <v>1170</v>
      </c>
      <c r="J1429" s="136">
        <f>Tabla3[[#This Row],[EGRESOS]]/Tabla3[[#This Row],[TC]]</f>
        <v>0</v>
      </c>
      <c r="K1429" s="136">
        <f>Tabla3[[#This Row],[INGRESOS]]/Tabla3[[#This Row],[TC]]</f>
        <v>265.85470085470087</v>
      </c>
      <c r="L1429" s="287" t="s">
        <v>720</v>
      </c>
      <c r="M1429" s="287" t="s">
        <v>720</v>
      </c>
      <c r="N1429" s="287" t="s">
        <v>720</v>
      </c>
      <c r="O1429" s="389" t="s">
        <v>184</v>
      </c>
      <c r="P1429" s="389" t="s">
        <v>237</v>
      </c>
      <c r="Q1429" s="389" t="s">
        <v>236</v>
      </c>
      <c r="R1429" s="389" t="s">
        <v>1010</v>
      </c>
      <c r="S1429" s="389" t="s">
        <v>418</v>
      </c>
      <c r="T1429" s="389"/>
      <c r="U1429" s="389" t="s">
        <v>273</v>
      </c>
      <c r="V1429" s="389"/>
      <c r="W1429" s="389" t="s">
        <v>306</v>
      </c>
      <c r="X1429" s="389" t="s">
        <v>23</v>
      </c>
      <c r="Y1429" s="389" t="s">
        <v>39</v>
      </c>
    </row>
    <row r="1430" spans="1:25" hidden="1" x14ac:dyDescent="0.25">
      <c r="A1430" s="277" t="s">
        <v>726</v>
      </c>
      <c r="B1430" s="278">
        <v>45854</v>
      </c>
      <c r="C1430" s="279" t="s">
        <v>542</v>
      </c>
      <c r="D1430" s="279"/>
      <c r="E1430" s="280">
        <v>12000</v>
      </c>
      <c r="F1430" s="280">
        <v>0</v>
      </c>
      <c r="G1430" s="387">
        <f>Tabla3[[#This Row],[INGRESOS]]-Tabla3[[#This Row],[EGRESOS]]</f>
        <v>-12000</v>
      </c>
      <c r="H1430" s="388"/>
      <c r="I1430" s="286">
        <v>1170</v>
      </c>
      <c r="J1430" s="136">
        <f>Tabla3[[#This Row],[EGRESOS]]/Tabla3[[#This Row],[TC]]</f>
        <v>10.256410256410257</v>
      </c>
      <c r="K1430" s="136">
        <f>Tabla3[[#This Row],[INGRESOS]]/Tabla3[[#This Row],[TC]]</f>
        <v>0</v>
      </c>
      <c r="L1430" s="287" t="s">
        <v>720</v>
      </c>
      <c r="M1430" s="287" t="s">
        <v>720</v>
      </c>
      <c r="N1430" s="287" t="s">
        <v>720</v>
      </c>
      <c r="O1430" s="389" t="s">
        <v>184</v>
      </c>
      <c r="P1430" s="389" t="s">
        <v>185</v>
      </c>
      <c r="Q1430" s="389" t="s">
        <v>1051</v>
      </c>
      <c r="R1430" s="389" t="s">
        <v>998</v>
      </c>
      <c r="S1430" s="389"/>
      <c r="T1430" s="389"/>
      <c r="U1430" s="389" t="s">
        <v>261</v>
      </c>
      <c r="V1430" s="389"/>
      <c r="W1430" s="389" t="s">
        <v>306</v>
      </c>
      <c r="X1430" s="389" t="s">
        <v>98</v>
      </c>
      <c r="Y1430" s="389" t="s">
        <v>23</v>
      </c>
    </row>
    <row r="1431" spans="1:25" hidden="1" x14ac:dyDescent="0.25">
      <c r="A1431" s="277" t="s">
        <v>726</v>
      </c>
      <c r="B1431" s="278">
        <v>45854</v>
      </c>
      <c r="C1431" s="279" t="s">
        <v>542</v>
      </c>
      <c r="D1431" s="279"/>
      <c r="E1431" s="280">
        <v>150000</v>
      </c>
      <c r="F1431" s="280">
        <v>0</v>
      </c>
      <c r="G1431" s="387">
        <f>Tabla3[[#This Row],[INGRESOS]]-Tabla3[[#This Row],[EGRESOS]]</f>
        <v>-150000</v>
      </c>
      <c r="H1431" s="388"/>
      <c r="I1431" s="286">
        <v>1170</v>
      </c>
      <c r="J1431" s="136">
        <f>Tabla3[[#This Row],[EGRESOS]]/Tabla3[[#This Row],[TC]]</f>
        <v>128.2051282051282</v>
      </c>
      <c r="K1431" s="136">
        <f>Tabla3[[#This Row],[INGRESOS]]/Tabla3[[#This Row],[TC]]</f>
        <v>0</v>
      </c>
      <c r="L1431" s="287" t="s">
        <v>720</v>
      </c>
      <c r="M1431" s="287" t="s">
        <v>720</v>
      </c>
      <c r="N1431" s="287" t="s">
        <v>720</v>
      </c>
      <c r="O1431" s="389" t="s">
        <v>184</v>
      </c>
      <c r="P1431" s="389" t="s">
        <v>191</v>
      </c>
      <c r="Q1431" s="389" t="s">
        <v>192</v>
      </c>
      <c r="R1431" s="389"/>
      <c r="S1431" s="389" t="s">
        <v>431</v>
      </c>
      <c r="T1431" s="389"/>
      <c r="U1431" s="389" t="s">
        <v>266</v>
      </c>
      <c r="V1431" s="389"/>
      <c r="W1431" s="389" t="s">
        <v>306</v>
      </c>
      <c r="X1431" s="389" t="s">
        <v>98</v>
      </c>
      <c r="Y1431" s="389" t="s">
        <v>23</v>
      </c>
    </row>
    <row r="1432" spans="1:25" hidden="1" x14ac:dyDescent="0.25">
      <c r="A1432" s="277" t="s">
        <v>726</v>
      </c>
      <c r="B1432" s="278">
        <v>45854</v>
      </c>
      <c r="C1432" s="279" t="s">
        <v>542</v>
      </c>
      <c r="D1432" s="279"/>
      <c r="E1432" s="280">
        <v>5500</v>
      </c>
      <c r="F1432" s="280">
        <v>0</v>
      </c>
      <c r="G1432" s="387">
        <f>Tabla3[[#This Row],[INGRESOS]]-Tabla3[[#This Row],[EGRESOS]]</f>
        <v>-5500</v>
      </c>
      <c r="H1432" s="388"/>
      <c r="I1432" s="286">
        <v>1170</v>
      </c>
      <c r="J1432" s="136">
        <f>Tabla3[[#This Row],[EGRESOS]]/Tabla3[[#This Row],[TC]]</f>
        <v>4.700854700854701</v>
      </c>
      <c r="K1432" s="136">
        <f>Tabla3[[#This Row],[INGRESOS]]/Tabla3[[#This Row],[TC]]</f>
        <v>0</v>
      </c>
      <c r="L1432" s="287" t="s">
        <v>720</v>
      </c>
      <c r="M1432" s="287" t="s">
        <v>720</v>
      </c>
      <c r="N1432" s="287" t="s">
        <v>720</v>
      </c>
      <c r="O1432" s="389" t="s">
        <v>184</v>
      </c>
      <c r="P1432" s="389" t="s">
        <v>191</v>
      </c>
      <c r="Q1432" s="389" t="s">
        <v>193</v>
      </c>
      <c r="R1432" s="389" t="s">
        <v>707</v>
      </c>
      <c r="S1432" s="389" t="s">
        <v>315</v>
      </c>
      <c r="T1432" s="389"/>
      <c r="U1432" s="389" t="s">
        <v>266</v>
      </c>
      <c r="V1432" s="389"/>
      <c r="W1432" s="389" t="s">
        <v>306</v>
      </c>
      <c r="X1432" s="389" t="s">
        <v>98</v>
      </c>
      <c r="Y1432" s="389" t="s">
        <v>23</v>
      </c>
    </row>
    <row r="1433" spans="1:25" hidden="1" x14ac:dyDescent="0.25">
      <c r="A1433" s="277" t="s">
        <v>726</v>
      </c>
      <c r="B1433" s="278">
        <v>45854</v>
      </c>
      <c r="C1433" s="279" t="s">
        <v>542</v>
      </c>
      <c r="D1433" s="279"/>
      <c r="E1433" s="280">
        <v>4372</v>
      </c>
      <c r="F1433" s="280">
        <v>0</v>
      </c>
      <c r="G1433" s="387">
        <f>Tabla3[[#This Row],[INGRESOS]]-Tabla3[[#This Row],[EGRESOS]]</f>
        <v>-4372</v>
      </c>
      <c r="H1433" s="388"/>
      <c r="I1433" s="286">
        <v>1170</v>
      </c>
      <c r="J1433" s="136">
        <f>Tabla3[[#This Row],[EGRESOS]]/Tabla3[[#This Row],[TC]]</f>
        <v>3.7367521367521368</v>
      </c>
      <c r="K1433" s="136">
        <f>Tabla3[[#This Row],[INGRESOS]]/Tabla3[[#This Row],[TC]]</f>
        <v>0</v>
      </c>
      <c r="L1433" s="287" t="s">
        <v>720</v>
      </c>
      <c r="M1433" s="287" t="s">
        <v>720</v>
      </c>
      <c r="N1433" s="287" t="s">
        <v>720</v>
      </c>
      <c r="O1433" s="389" t="s">
        <v>184</v>
      </c>
      <c r="P1433" s="389" t="s">
        <v>191</v>
      </c>
      <c r="Q1433" s="389" t="s">
        <v>193</v>
      </c>
      <c r="R1433" s="389" t="s">
        <v>708</v>
      </c>
      <c r="S1433" s="389" t="s">
        <v>315</v>
      </c>
      <c r="T1433" s="389"/>
      <c r="U1433" s="389" t="s">
        <v>266</v>
      </c>
      <c r="V1433" s="389"/>
      <c r="W1433" s="389" t="s">
        <v>306</v>
      </c>
      <c r="X1433" s="389" t="s">
        <v>98</v>
      </c>
      <c r="Y1433" s="389" t="s">
        <v>23</v>
      </c>
    </row>
    <row r="1434" spans="1:25" x14ac:dyDescent="0.25">
      <c r="A1434" s="277" t="s">
        <v>726</v>
      </c>
      <c r="B1434" s="278">
        <v>45854</v>
      </c>
      <c r="C1434" s="279" t="s">
        <v>542</v>
      </c>
      <c r="D1434" s="279"/>
      <c r="E1434" s="280">
        <v>55200</v>
      </c>
      <c r="F1434" s="280">
        <v>0</v>
      </c>
      <c r="G1434" s="387">
        <f>Tabla3[[#This Row],[INGRESOS]]-Tabla3[[#This Row],[EGRESOS]]</f>
        <v>-55200</v>
      </c>
      <c r="H1434" s="388"/>
      <c r="I1434" s="286">
        <v>1170</v>
      </c>
      <c r="J1434" s="136">
        <f>Tabla3[[#This Row],[EGRESOS]]/Tabla3[[#This Row],[TC]]</f>
        <v>47.179487179487182</v>
      </c>
      <c r="K1434" s="136">
        <f>Tabla3[[#This Row],[INGRESOS]]/Tabla3[[#This Row],[TC]]</f>
        <v>0</v>
      </c>
      <c r="L1434" s="287" t="s">
        <v>720</v>
      </c>
      <c r="M1434" s="287" t="s">
        <v>720</v>
      </c>
      <c r="N1434" s="287" t="s">
        <v>720</v>
      </c>
      <c r="O1434" s="389" t="s">
        <v>742</v>
      </c>
      <c r="P1434" s="389" t="s">
        <v>220</v>
      </c>
      <c r="Q1434" s="389" t="s">
        <v>788</v>
      </c>
      <c r="R1434" s="389" t="s">
        <v>142</v>
      </c>
      <c r="S1434" s="389" t="s">
        <v>848</v>
      </c>
      <c r="T1434" s="389"/>
      <c r="U1434" s="389" t="s">
        <v>258</v>
      </c>
      <c r="V1434" s="389"/>
      <c r="W1434" s="389" t="s">
        <v>306</v>
      </c>
      <c r="X1434" s="389" t="s">
        <v>29</v>
      </c>
      <c r="Y1434" s="389" t="s">
        <v>23</v>
      </c>
    </row>
    <row r="1435" spans="1:25" x14ac:dyDescent="0.25">
      <c r="A1435" s="277" t="s">
        <v>726</v>
      </c>
      <c r="B1435" s="278">
        <v>45854</v>
      </c>
      <c r="C1435" s="279" t="s">
        <v>542</v>
      </c>
      <c r="D1435" s="279"/>
      <c r="E1435" s="280">
        <v>55200</v>
      </c>
      <c r="F1435" s="280">
        <v>0</v>
      </c>
      <c r="G1435" s="387">
        <f>Tabla3[[#This Row],[INGRESOS]]-Tabla3[[#This Row],[EGRESOS]]</f>
        <v>-55200</v>
      </c>
      <c r="H1435" s="388"/>
      <c r="I1435" s="286">
        <v>1170</v>
      </c>
      <c r="J1435" s="136">
        <f>Tabla3[[#This Row],[EGRESOS]]/Tabla3[[#This Row],[TC]]</f>
        <v>47.179487179487182</v>
      </c>
      <c r="K1435" s="136">
        <f>Tabla3[[#This Row],[INGRESOS]]/Tabla3[[#This Row],[TC]]</f>
        <v>0</v>
      </c>
      <c r="L1435" s="287" t="s">
        <v>720</v>
      </c>
      <c r="M1435" s="287" t="s">
        <v>720</v>
      </c>
      <c r="N1435" s="287" t="s">
        <v>720</v>
      </c>
      <c r="O1435" s="389" t="s">
        <v>742</v>
      </c>
      <c r="P1435" s="389" t="s">
        <v>220</v>
      </c>
      <c r="Q1435" s="389" t="s">
        <v>788</v>
      </c>
      <c r="R1435" s="389" t="s">
        <v>142</v>
      </c>
      <c r="S1435" s="389" t="s">
        <v>848</v>
      </c>
      <c r="T1435" s="389"/>
      <c r="U1435" s="389" t="s">
        <v>258</v>
      </c>
      <c r="V1435" s="389"/>
      <c r="W1435" s="389" t="s">
        <v>306</v>
      </c>
      <c r="X1435" s="389" t="s">
        <v>29</v>
      </c>
      <c r="Y1435" s="389" t="s">
        <v>23</v>
      </c>
    </row>
    <row r="1436" spans="1:25" hidden="1" x14ac:dyDescent="0.25">
      <c r="A1436" s="277" t="s">
        <v>726</v>
      </c>
      <c r="B1436" s="278">
        <v>45854</v>
      </c>
      <c r="C1436" s="279" t="s">
        <v>542</v>
      </c>
      <c r="D1436" s="279"/>
      <c r="E1436" s="280">
        <v>28778</v>
      </c>
      <c r="F1436" s="280">
        <v>0</v>
      </c>
      <c r="G1436" s="387">
        <f>Tabla3[[#This Row],[INGRESOS]]-Tabla3[[#This Row],[EGRESOS]]</f>
        <v>-28778</v>
      </c>
      <c r="H1436" s="388"/>
      <c r="I1436" s="286">
        <v>1170</v>
      </c>
      <c r="J1436" s="136">
        <f>Tabla3[[#This Row],[EGRESOS]]/Tabla3[[#This Row],[TC]]</f>
        <v>24.596581196581198</v>
      </c>
      <c r="K1436" s="136">
        <f>Tabla3[[#This Row],[INGRESOS]]/Tabla3[[#This Row],[TC]]</f>
        <v>0</v>
      </c>
      <c r="L1436" s="287" t="s">
        <v>720</v>
      </c>
      <c r="M1436" s="287" t="s">
        <v>720</v>
      </c>
      <c r="N1436" s="287" t="s">
        <v>720</v>
      </c>
      <c r="O1436" s="389" t="s">
        <v>184</v>
      </c>
      <c r="P1436" s="389" t="s">
        <v>191</v>
      </c>
      <c r="Q1436" s="389" t="s">
        <v>193</v>
      </c>
      <c r="R1436" s="389" t="s">
        <v>1009</v>
      </c>
      <c r="S1436" s="389" t="s">
        <v>313</v>
      </c>
      <c r="T1436" s="389"/>
      <c r="U1436" s="389" t="s">
        <v>266</v>
      </c>
      <c r="V1436" s="389"/>
      <c r="W1436" s="389" t="s">
        <v>306</v>
      </c>
      <c r="X1436" s="389" t="s">
        <v>98</v>
      </c>
      <c r="Y1436" s="389" t="s">
        <v>23</v>
      </c>
    </row>
  </sheetData>
  <sheetProtection sheet="1" objects="1" scenarios="1"/>
  <phoneticPr fontId="18" type="noConversion"/>
  <pageMargins left="0.25" right="0.25" top="0.75" bottom="0.75" header="0.3" footer="0.3"/>
  <pageSetup paperSize="5" orientation="landscape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F6841-5A63-4873-8437-6C934DFC755A}">
  <dimension ref="A1:S64"/>
  <sheetViews>
    <sheetView workbookViewId="0">
      <selection activeCell="F31" sqref="F31"/>
    </sheetView>
  </sheetViews>
  <sheetFormatPr baseColWidth="10" defaultColWidth="11.42578125" defaultRowHeight="15" x14ac:dyDescent="0.25"/>
  <cols>
    <col min="1" max="1" width="1.42578125" customWidth="1"/>
    <col min="2" max="2" width="20.42578125" customWidth="1"/>
    <col min="3" max="3" width="17.28515625" customWidth="1"/>
    <col min="4" max="5" width="16.7109375" bestFit="1" customWidth="1"/>
    <col min="6" max="8" width="15.5703125" bestFit="1" customWidth="1"/>
    <col min="9" max="9" width="17.5703125" customWidth="1"/>
    <col min="10" max="10" width="14.42578125" customWidth="1"/>
    <col min="11" max="13" width="14.42578125" hidden="1" customWidth="1"/>
    <col min="14" max="14" width="0.140625" customWidth="1"/>
    <col min="15" max="15" width="16.7109375" bestFit="1" customWidth="1"/>
    <col min="16" max="16" width="17.85546875" customWidth="1"/>
    <col min="17" max="17" width="8.28515625" customWidth="1"/>
    <col min="18" max="18" width="18.28515625" bestFit="1" customWidth="1"/>
    <col min="19" max="19" width="12" bestFit="1" customWidth="1"/>
  </cols>
  <sheetData>
    <row r="1" spans="1:19" ht="18.75" x14ac:dyDescent="0.3">
      <c r="A1" s="7"/>
      <c r="B1" s="204" t="s">
        <v>723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1:19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19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pans="1:19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1:19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x14ac:dyDescent="0.25">
      <c r="A15" s="7"/>
      <c r="B15" s="247" t="s">
        <v>724</v>
      </c>
      <c r="C15" s="235" t="s">
        <v>183</v>
      </c>
      <c r="D15" s="235" t="s">
        <v>225</v>
      </c>
      <c r="E15" s="235" t="s">
        <v>235</v>
      </c>
      <c r="F15" s="235" t="s">
        <v>242</v>
      </c>
      <c r="G15" s="235" t="s">
        <v>247</v>
      </c>
      <c r="H15" s="235" t="s">
        <v>725</v>
      </c>
      <c r="I15" s="235" t="s">
        <v>726</v>
      </c>
      <c r="J15" s="235" t="s">
        <v>727</v>
      </c>
      <c r="K15" s="235" t="s">
        <v>728</v>
      </c>
      <c r="L15" s="235" t="s">
        <v>729</v>
      </c>
      <c r="M15" s="235" t="s">
        <v>730</v>
      </c>
      <c r="N15" s="235" t="s">
        <v>731</v>
      </c>
      <c r="O15" s="235" t="s">
        <v>150</v>
      </c>
      <c r="P15" s="235" t="s">
        <v>732</v>
      </c>
      <c r="Q15" s="235" t="s">
        <v>733</v>
      </c>
      <c r="R15" s="235" t="s">
        <v>734</v>
      </c>
      <c r="S15" s="235" t="s">
        <v>735</v>
      </c>
    </row>
    <row r="16" spans="1:19" x14ac:dyDescent="0.25">
      <c r="A16" s="7"/>
      <c r="B16" s="248" t="s">
        <v>197</v>
      </c>
      <c r="C16" s="264">
        <f t="shared" ref="C16:H16" si="0">SUM(C17:C34)</f>
        <v>10824992</v>
      </c>
      <c r="D16" s="264">
        <f t="shared" si="0"/>
        <v>1766963.27</v>
      </c>
      <c r="E16" s="264">
        <f t="shared" si="0"/>
        <v>4756184.78</v>
      </c>
      <c r="F16" s="264">
        <f t="shared" si="0"/>
        <v>11510526</v>
      </c>
      <c r="G16" s="264">
        <f t="shared" si="0"/>
        <v>17255180.75</v>
      </c>
      <c r="H16" s="264">
        <f t="shared" si="0"/>
        <v>5946510.5</v>
      </c>
      <c r="I16" s="264">
        <f>SUM(I17:I34)</f>
        <v>58274249.840000004</v>
      </c>
      <c r="J16" s="264">
        <f t="shared" ref="J16:P16" si="1">SUM(J17:J33)</f>
        <v>0</v>
      </c>
      <c r="K16" s="264">
        <f t="shared" si="1"/>
        <v>0</v>
      </c>
      <c r="L16" s="264">
        <f t="shared" si="1"/>
        <v>0</v>
      </c>
      <c r="M16" s="264">
        <f t="shared" si="1"/>
        <v>0</v>
      </c>
      <c r="N16" s="264">
        <f t="shared" si="1"/>
        <v>0</v>
      </c>
      <c r="O16" s="264">
        <f t="shared" si="1"/>
        <v>102150527.81</v>
      </c>
      <c r="P16" s="264">
        <f t="shared" si="1"/>
        <v>316984061.49160069</v>
      </c>
      <c r="Q16" s="290">
        <f>Tabla4[[#This Row],[TOTAL]]/Tabla4[[#This Row],[ESTIMADO]]</f>
        <v>0.32225761550697635</v>
      </c>
      <c r="R16" s="368">
        <f>SUM(R17:R33)</f>
        <v>279349.98913355946</v>
      </c>
      <c r="S16" s="7"/>
    </row>
    <row r="17" spans="1:19" x14ac:dyDescent="0.25">
      <c r="A17" s="7"/>
      <c r="B17" s="249" t="s">
        <v>199</v>
      </c>
      <c r="C17" s="119">
        <f>SUMIFS(Tabla3[[#All],[EGRESOS]],Tabla3[[#All],[PERIODO]],Tabla4[[#Headers],[ENERO]],Tabla3[[#All],[ACTIVIDAD]],ACTIVIDADES!$B$16,Tabla3[[#All],[CONCEPTO]],Tabla4[[#This Row],[ACTIVIDADES]])</f>
        <v>401128</v>
      </c>
      <c r="D17" s="119">
        <f>SUMIFS(Tabla3[[#All],[EGRESOS]],Tabla3[[#All],[PERIODO]],Tabla4[[#Headers],[FEBRERO]],Tabla3[[#All],[ACTIVIDAD]],ACTIVIDADES!$B$16,Tabla3[[#All],[CONCEPTO]],Tabla4[[#This Row],[ACTIVIDADES]])</f>
        <v>410810</v>
      </c>
      <c r="E17" s="119">
        <f>SUMIFS(Tabla3[[#All],[EGRESOS]],Tabla3[[#All],[PERIODO]],Tabla4[[#Headers],[MARZO]],Tabla3[[#All],[ACTIVIDAD]],ACTIVIDADES!$B$16,Tabla3[[#All],[CONCEPTO]],Tabla4[[#This Row],[ACTIVIDADES]])</f>
        <v>0</v>
      </c>
      <c r="F17" s="119">
        <f>SUMIFS(Tabla3[[#All],[EGRESOS]],Tabla3[[#All],[PERIODO]],Tabla4[[#Headers],[ABRIL]],Tabla3[[#All],[ACTIVIDAD]],ACTIVIDADES!$B$16,Tabla3[[#All],[CONCEPTO]],Tabla4[[#This Row],[ACTIVIDADES]])</f>
        <v>416620</v>
      </c>
      <c r="G17" s="119">
        <f>SUMIFS(Tabla3[[#All],[EGRESOS]],Tabla3[[#All],[PERIODO]],Tabla4[[#Headers],[MAYO]],Tabla3[[#All],[ACTIVIDAD]],ACTIVIDADES!$B$16,Tabla3[[#All],[CONCEPTO]],Tabla4[[#This Row],[ACTIVIDADES]])</f>
        <v>925558</v>
      </c>
      <c r="H17" s="119">
        <f>SUMIFS(Tabla3[[#All],[EGRESOS]],Tabla3[[#All],[PERIODO]],Tabla4[[#Headers],[JUNIO]],Tabla3[[#All],[ACTIVIDAD]],ACTIVIDADES!$B$16,Tabla3[[#All],[CONCEPTO]],Tabla4[[#This Row],[ACTIVIDADES]])</f>
        <v>0</v>
      </c>
      <c r="I17" s="119">
        <f>SUMIFS(Tabla3[[#All],[EGRESOS]],Tabla3[[#All],[PERIODO]],Tabla4[[#Headers],[JULIO]],Tabla3[[#All],[ACTIVIDAD]],ACTIVIDADES!$B$16,Tabla3[[#All],[CONCEPTO]],Tabla4[[#This Row],[ACTIVIDADES]])</f>
        <v>934252</v>
      </c>
      <c r="J17" s="119"/>
      <c r="K17" s="119"/>
      <c r="L17" s="119"/>
      <c r="M17" s="119"/>
      <c r="N17" s="119"/>
      <c r="O17" s="239">
        <f>SUM(Tabla4[[#This Row],[ENERO]:[DICIEMBRE]])</f>
        <v>3088368</v>
      </c>
      <c r="P17" s="119">
        <v>7000000</v>
      </c>
      <c r="Q17" s="246">
        <f>Tabla4[[#This Row],[TOTAL]]/Tabla4[[#This Row],[ESTIMADO]]</f>
        <v>0.44119542857142857</v>
      </c>
      <c r="R17" s="99">
        <f>Tabla4[[#This Row],[ESTIMADO]]/1140</f>
        <v>6140.3508771929828</v>
      </c>
      <c r="S17" s="99">
        <f>Tabla4[[#This Row],[USD]]/(350)</f>
        <v>17.543859649122808</v>
      </c>
    </row>
    <row r="18" spans="1:19" x14ac:dyDescent="0.25">
      <c r="A18" s="7"/>
      <c r="B18" s="250" t="s">
        <v>201</v>
      </c>
      <c r="C18" s="119"/>
      <c r="D18" s="119"/>
      <c r="E18" s="119"/>
      <c r="F18" s="119"/>
      <c r="G18" s="119"/>
      <c r="H18" s="119"/>
      <c r="I18" s="119"/>
      <c r="J18" s="119"/>
      <c r="K18" s="119"/>
      <c r="L18" s="119"/>
      <c r="M18" s="119"/>
      <c r="N18" s="119"/>
      <c r="O18" s="239"/>
      <c r="P18" s="119"/>
      <c r="Q18" s="246"/>
      <c r="R18" s="99"/>
      <c r="S18" s="99"/>
    </row>
    <row r="19" spans="1:19" x14ac:dyDescent="0.25">
      <c r="A19" s="7"/>
      <c r="B19" s="249" t="s">
        <v>202</v>
      </c>
      <c r="C19" s="119">
        <f>SUMIFS(Tabla3[[#All],[EGRESOS]],Tabla3[[#All],[PERIODO]],Tabla4[[#Headers],[ENERO]],Tabla3[[#All],[ACTIVIDAD]],ACTIVIDADES!$B$16,Tabla3[[#All],[CONCEPTO]],ACTIVIDADES!$B$18,Tabla3[[#All],[DETALLES]],Tabla4[[#This Row],[ACTIVIDADES]])</f>
        <v>6000000</v>
      </c>
      <c r="D19" s="119">
        <f>SUMIFS(Tabla3[EGRESOS],Tabla3[ACTIVIDAD],ACTIVIDADES!$B$18,Tabla3[PERIODO],Tabla4[[#Headers],[FEBRERO]],Tabla3[CONCEPTO],ACTIVIDADES!B16,Tabla3[DETALLES],Tabla4[[#This Row],[ACTIVIDADES]])</f>
        <v>0</v>
      </c>
      <c r="E19" s="119">
        <f>SUMIFS(Tabla3[[#All],[EGRESOS]],Tabla3[[#All],[PERIODO]],Tabla4[[#Headers],[MARZO]],Tabla3[[#All],[ACTIVIDAD]],ACTIVIDADES!B16,Tabla3[[#All],[CONCEPTO]],ACTIVIDADES!B18,Tabla3[[#All],[DETALLES]],Tabla4[[#This Row],[ACTIVIDADES]])</f>
        <v>2560406</v>
      </c>
      <c r="F19" s="119">
        <f>SUMIFS(Tabla3[[#All],[EGRESOS]],Tabla3[[#All],[PERIODO]],Tabla4[[#Headers],[ABRIL]],Tabla3[[#All],[ACTIVIDAD]],ACTIVIDADES!B16,Tabla3[[#All],[CONCEPTO]],ACTIVIDADES!B18,Tabla3[[#All],[DETALLES]],Tabla4[[#This Row],[ACTIVIDADES]])</f>
        <v>1229406</v>
      </c>
      <c r="G19" s="119">
        <f>SUMIFS(Tabla3[[#All],[EGRESOS]],Tabla3[[#All],[PERIODO]],Tabla4[[#Headers],[MAYO]],Tabla3[[#All],[ACTIVIDAD]],ACTIVIDADES!B16,Tabla3[[#All],[CONCEPTO]],ACTIVIDADES!B18,Tabla3[[#All],[DETALLES]],Tabla4[[#This Row],[ACTIVIDADES]])</f>
        <v>3000000</v>
      </c>
      <c r="H19" s="119">
        <f>SUMIFS(Tabla3[[#All],[EGRESOS]],Tabla3[[#All],[PERIODO]],Tabla4[[#Headers],[JUNIO]],Tabla3[[#All],[ACTIVIDAD]],ACTIVIDADES!B16,Tabla3[[#All],[CONCEPTO]],ACTIVIDADES!B18,Tabla3[[#All],[DETALLES]],Tabla4[[#This Row],[ACTIVIDADES]])</f>
        <v>0</v>
      </c>
      <c r="I19" s="119"/>
      <c r="J19" s="119"/>
      <c r="K19" s="119"/>
      <c r="L19" s="119"/>
      <c r="M19" s="119"/>
      <c r="N19" s="119"/>
      <c r="O19" s="239">
        <f>SUM(Tabla4[[#This Row],[ENERO]:[DICIEMBRE]])</f>
        <v>12789812</v>
      </c>
      <c r="P19" s="119">
        <f>14974524*1.21</f>
        <v>18119174.039999999</v>
      </c>
      <c r="Q19" s="246">
        <f>Tabla4[[#This Row],[TOTAL]]/Tabla4[[#This Row],[ESTIMADO]]</f>
        <v>0.70587168994376526</v>
      </c>
      <c r="R19" s="99">
        <f>Tabla4[[#This Row],[ESTIMADO]]/1140</f>
        <v>15894.012315789472</v>
      </c>
      <c r="S19" s="99">
        <f>Tabla4[[#This Row],[USD]]/(350)</f>
        <v>45.411463759398494</v>
      </c>
    </row>
    <row r="20" spans="1:19" x14ac:dyDescent="0.25">
      <c r="A20" s="7"/>
      <c r="B20" s="249" t="s">
        <v>501</v>
      </c>
      <c r="C20" s="119">
        <f>SUMIFS(Tabla3[[#All],[EGRESOS]],Tabla3[[#All],[PERIODO]],Tabla4[[#Headers],[ENERO]],Tabla3[[#All],[ACTIVIDAD]],ACTIVIDADES!$B$16,Tabla3[[#All],[CONCEPTO]],ACTIVIDADES!$B$18,Tabla3[[#All],[DETALLES]],Tabla4[[#This Row],[ACTIVIDADES]])</f>
        <v>0</v>
      </c>
      <c r="D20" s="119">
        <f>SUMIFS(Tabla3[EGRESOS],Tabla3[ACTIVIDAD],ACTIVIDADES!$B$16,Tabla3[PERIODO],Tabla4[[#Headers],[FEBRERO]],Tabla3[CONCEPTO],ACTIVIDADES!B18,Tabla3[DETALLES],Tabla4[[#This Row],[ACTIVIDADES]])</f>
        <v>0</v>
      </c>
      <c r="E20" s="119">
        <f>SUMIFS(Tabla3[[#All],[EGRESOS]],Tabla3[[#All],[PERIODO]],Tabla4[[#Headers],[MARZO]],Tabla3[[#All],[ACTIVIDAD]],ACTIVIDADES!B17,Tabla3[[#All],[CONCEPTO]],ACTIVIDADES!B18,Tabla3[[#All],[DETALLES]],Tabla4[[#This Row],[ACTIVIDADES]])</f>
        <v>0</v>
      </c>
      <c r="F20" s="119">
        <f>SUMIFS(Tabla3[[#All],[EGRESOS]],Tabla3[[#All],[PERIODO]],Tabla4[[#Headers],[ABRIL]],Tabla3[[#All],[ACTIVIDAD]],ACTIVIDADES!B16,Tabla3[[#All],[CONCEPTO]],ACTIVIDADES!B18,Tabla3[[#All],[DETALLES]],Tabla4[[#This Row],[ACTIVIDADES]])</f>
        <v>0</v>
      </c>
      <c r="G20" s="119">
        <f>SUMIFS(Tabla3[[#All],[EGRESOS]],Tabla3[[#All],[PERIODO]],Tabla4[[#Headers],[MAYO]],Tabla3[[#All],[ACTIVIDAD]],ACTIVIDADES!$B$16,Tabla3[[#All],[CONCEPTO]],ACTIVIDADES!$B$18,Tabla3[[#All],[DETALLES]],Tabla4[[#This Row],[ACTIVIDADES]])</f>
        <v>0</v>
      </c>
      <c r="H20" s="119">
        <f>SUMIFS(Tabla3[[#All],[EGRESOS]],Tabla3[[#All],[PERIODO]],Tabla4[[#Headers],[JUNIO]],Tabla3[[#All],[ACTIVIDAD]],ACTIVIDADES!B16,Tabla3[[#All],[CONCEPTO]],ACTIVIDADES!B18,Tabla3[[#All],[DETALLES]],Tabla4[[#This Row],[ACTIVIDADES]])</f>
        <v>0</v>
      </c>
      <c r="I20" s="119"/>
      <c r="J20" s="119"/>
      <c r="K20" s="119"/>
      <c r="L20" s="119"/>
      <c r="M20" s="119"/>
      <c r="N20" s="119"/>
      <c r="O20" s="239">
        <f>SUM(Tabla4[[#This Row],[ENERO]:[DICIEMBRE]])</f>
        <v>0</v>
      </c>
      <c r="P20" s="119">
        <f>Tabla4[[#This Row],[USD]]*1140</f>
        <v>11427280.200000001</v>
      </c>
      <c r="Q20" s="246">
        <f>Tabla4[[#This Row],[TOTAL]]/Tabla4[[#This Row],[ESTIMADO]]</f>
        <v>0</v>
      </c>
      <c r="R20" s="99">
        <v>10023.93</v>
      </c>
      <c r="S20" s="99">
        <f>Tabla4[[#This Row],[USD]]/(350)</f>
        <v>28.639800000000001</v>
      </c>
    </row>
    <row r="21" spans="1:19" x14ac:dyDescent="0.25">
      <c r="A21" s="7"/>
      <c r="B21" s="249" t="s">
        <v>203</v>
      </c>
      <c r="C21" s="119">
        <f>SUMIFS(Tabla3[[#All],[EGRESOS]],Tabla3[[#All],[PERIODO]],Tabla4[[#Headers],[ENERO]],Tabla3[[#All],[ACTIVIDAD]],ACTIVIDADES!$B$16,Tabla3[[#All],[CONCEPTO]],ACTIVIDADES!$B$18,Tabla3[[#All],[DETALLES]],Tabla4[[#This Row],[ACTIVIDADES]])</f>
        <v>2997164</v>
      </c>
      <c r="D21" s="119">
        <f>SUMIFS(Tabla3[EGRESOS],Tabla3[ACTIVIDAD],ACTIVIDADES!$B$16,Tabla3[PERIODO],Tabla4[[#Headers],[FEBRERO]],Tabla3[CONCEPTO],ACTIVIDADES!B18,Tabla3[DETALLES],Tabla4[[#This Row],[ACTIVIDADES]])</f>
        <v>1356153.27</v>
      </c>
      <c r="E21" s="119">
        <f>SUMIFS(Tabla3[[#All],[EGRESOS]],Tabla3[[#All],[PERIODO]],Tabla4[[#Headers],[MARZO]],Tabla3[[#All],[ACTIVIDAD]],ACTIVIDADES!$B$16,Tabla3[[#All],[CONCEPTO]],ACTIVIDADES!$B$18,Tabla3[[#All],[DETALLES]],Tabla4[[#This Row],[ACTIVIDADES]])</f>
        <v>2195778.7800000003</v>
      </c>
      <c r="F21" s="119">
        <f>SUMIFS(Tabla3[[#All],[EGRESOS]],Tabla3[[#All],[PERIODO]],Tabla4[[#Headers],[ABRIL]],Tabla3[[#All],[ACTIVIDAD]],ACTIVIDADES!B16,Tabla3[[#All],[CONCEPTO]],ACTIVIDADES!B18,Tabla3[[#All],[DETALLES]],Tabla4[[#This Row],[ACTIVIDADES]])</f>
        <v>1356000</v>
      </c>
      <c r="G21" s="119">
        <f>SUMIFS(Tabla3[[#All],[EGRESOS]],Tabla3[[#All],[PERIODO]],Tabla4[[#Headers],[MAYO]],Tabla3[[#All],[ACTIVIDAD]],ACTIVIDADES!$B$16,Tabla3[[#All],[CONCEPTO]],ACTIVIDADES!$B$18,Tabla3[[#All],[DETALLES]],Tabla4[[#This Row],[ACTIVIDADES]])</f>
        <v>2829622.75</v>
      </c>
      <c r="H21" s="119">
        <f>SUMIFS(Tabla3[[#All],[EGRESOS]],Tabla3[[#All],[PERIODO]],Tabla4[[#Headers],[JUNIO]],Tabla3[[#All],[ACTIVIDAD]],ACTIVIDADES!$B$16,Tabla3[[#All],[CONCEPTO]],ACTIVIDADES!$B$18,Tabla3[[#All],[DETALLES]],Tabla4[[#This Row],[ACTIVIDADES]])</f>
        <v>0</v>
      </c>
      <c r="I21" s="119">
        <f>SUMIFS(Tabla3[[#All],[EGRESOS]],Tabla3[[#All],[PERIODO]],Tabla4[[#Headers],[JULIO]],Tabla3[[#All],[ACTIVIDAD]],ACTIVIDADES!$B$16,Tabla3[[#All],[CONCEPTO]],ACTIVIDADES!$B$18,Tabla3[[#All],[DETALLES]],Tabla4[[#This Row],[ACTIVIDADES]])</f>
        <v>1473622.75</v>
      </c>
      <c r="J21" s="119"/>
      <c r="K21" s="119"/>
      <c r="L21" s="119"/>
      <c r="M21" s="119"/>
      <c r="N21" s="119"/>
      <c r="O21" s="239">
        <f>SUM(Tabla4[[#This Row],[ENERO]:[DICIEMBRE]])</f>
        <v>12208341.550000001</v>
      </c>
      <c r="P21" s="119">
        <f>Tabla4[[#This Row],[USD]]*1140</f>
        <v>17912683.199999999</v>
      </c>
      <c r="Q21" s="246">
        <f>Tabla4[[#This Row],[TOTAL]]/Tabla4[[#This Row],[ESTIMADO]]</f>
        <v>0.68154733792199274</v>
      </c>
      <c r="R21" s="99">
        <v>15712.88</v>
      </c>
      <c r="S21" s="99">
        <f>Tabla4[[#This Row],[USD]]/(350)</f>
        <v>44.893942857142854</v>
      </c>
    </row>
    <row r="22" spans="1:19" x14ac:dyDescent="0.25">
      <c r="A22" s="7"/>
      <c r="B22" s="249" t="s">
        <v>947</v>
      </c>
      <c r="C22" s="119">
        <f>SUMIFS(Tabla3[[#All],[EGRESOS]],Tabla3[[#All],[PERIODO]],Tabla4[[#Headers],[ENERO]],Tabla3[[#All],[ACTIVIDAD]],ACTIVIDADES!$B$16,Tabla3[[#All],[CONCEPTO]],ACTIVIDADES!$B$18,Tabla3[[#All],[DETALLES]],Tabla4[[#This Row],[ACTIVIDADES]])</f>
        <v>0</v>
      </c>
      <c r="D22" s="119">
        <f>SUMIFS(Tabla3[EGRESOS],Tabla3[ACTIVIDAD],ACTIVIDADES!$B$16,Tabla3[PERIODO],Tabla4[[#Headers],[FEBRERO]],Tabla3[CONCEPTO],ACTIVIDADES!B18,Tabla3[DETALLES],Tabla4[[#This Row],[ACTIVIDADES]])</f>
        <v>0</v>
      </c>
      <c r="E22" s="119">
        <f>SUMIFS(Tabla3[[#All],[EGRESOS]],Tabla3[[#All],[PERIODO]],Tabla4[[#Headers],[MARZO]],Tabla3[[#All],[ACTIVIDAD]],ACTIVIDADES!$B$16,Tabla3[[#All],[CONCEPTO]],ACTIVIDADES!$B$18,Tabla3[[#All],[DETALLES]],Tabla4[[#This Row],[ACTIVIDADES]])</f>
        <v>0</v>
      </c>
      <c r="F22" s="119">
        <f>SUMIFS(Tabla3[[#All],[EGRESOS]],Tabla3[[#All],[PERIODO]],Tabla4[[#Headers],[ABRIL]],Tabla3[[#All],[ACTIVIDAD]],ACTIVIDADES!B16,Tabla3[[#All],[CONCEPTO]],ACTIVIDADES!B18,Tabla3[[#All],[DETALLES]],Tabla4[[#This Row],[ACTIVIDADES]])</f>
        <v>0</v>
      </c>
      <c r="G22" s="119">
        <f>SUMIFS(Tabla3[[#All],[EGRESOS]],Tabla3[[#All],[PERIODO]],Tabla4[[#Headers],[MAYO]],Tabla3[[#All],[ACTIVIDAD]],ACTIVIDADES!$B$16,Tabla3[[#All],[CONCEPTO]],ACTIVIDADES!$B$18,Tabla3[[#All],[DETALLES]],Tabla4[[#This Row],[ACTIVIDADES]])</f>
        <v>0</v>
      </c>
      <c r="H22" s="119">
        <f>SUMIFS(Tabla3[[#All],[EGRESOS]],Tabla3[[#All],[PERIODO]],Tabla4[[#Headers],[JUNIO]],Tabla3[[#All],[ACTIVIDAD]],ACTIVIDADES!B16,Tabla3[[#All],[CONCEPTO]],ACTIVIDADES!B18,Tabla3[[#All],[DETALLES]],Tabla4[[#This Row],[ACTIVIDADES]])</f>
        <v>0</v>
      </c>
      <c r="I22" s="119">
        <f>SUMIFS(Tabla3[[#All],[EGRESOS]],Tabla3[[#All],[PERIODO]],Tabla4[[#Headers],[JULIO]],Tabla3[[#All],[ACTIVIDAD]],ACTIVIDADES!B16,Tabla3[[#All],[CONCEPTO]],ACTIVIDADES!B18,Tabla3[[#All],[DETALLES]],Tabla4[[#This Row],[ACTIVIDADES]])</f>
        <v>36384674.760000005</v>
      </c>
      <c r="J22" s="119"/>
      <c r="K22" s="119"/>
      <c r="L22" s="119"/>
      <c r="M22" s="119"/>
      <c r="N22" s="119"/>
      <c r="O22" s="239">
        <f>SUM(Tabla4[[#This Row],[ENERO]:[DICIEMBRE]])</f>
        <v>36384674.760000005</v>
      </c>
      <c r="P22" s="119">
        <v>52777452</v>
      </c>
      <c r="Q22" s="246">
        <f>Tabla4[[#This Row],[TOTAL]]/Tabla4[[#This Row],[ESTIMADO]]</f>
        <v>0.68939809295833387</v>
      </c>
      <c r="R22" s="99">
        <v>47589.805368997557</v>
      </c>
      <c r="S22" s="99">
        <f>Tabla4[[#This Row],[USD]]/(350)</f>
        <v>135.97087248285015</v>
      </c>
    </row>
    <row r="23" spans="1:19" x14ac:dyDescent="0.25">
      <c r="A23" s="7"/>
      <c r="B23" s="249" t="s">
        <v>736</v>
      </c>
      <c r="C23" s="119">
        <f>SUMIFS(Tabla3[[#All],[EGRESOS]],Tabla3[[#All],[PERIODO]],Tabla4[[#Headers],[ENERO]],Tabla3[[#All],[ACTIVIDAD]],ACTIVIDADES!$B$16,Tabla3[[#All],[CONCEPTO]],ACTIVIDADES!$B$18,Tabla3[[#All],[DETALLES]],Tabla4[[#This Row],[ACTIVIDADES]])</f>
        <v>0</v>
      </c>
      <c r="D23" s="119">
        <f>SUMIFS(Tabla3[EGRESOS],Tabla3[ACTIVIDAD],ACTIVIDADES!$B$16,Tabla3[PERIODO],Tabla4[[#Headers],[FEBRERO]],Tabla3[CONCEPTO],ACTIVIDADES!B18,Tabla3[DETALLES],Tabla4[[#This Row],[ACTIVIDADES]])</f>
        <v>0</v>
      </c>
      <c r="E23" s="119">
        <f>SUMIFS(Tabla3[[#All],[EGRESOS]],Tabla3[[#All],[PERIODO]],Tabla4[[#Headers],[MARZO]],Tabla3[[#All],[ACTIVIDAD]],ACTIVIDADES!$B$16,Tabla3[[#All],[CONCEPTO]],ACTIVIDADES!$B$18,Tabla3[[#All],[DETALLES]],Tabla4[[#This Row],[ACTIVIDADES]])</f>
        <v>0</v>
      </c>
      <c r="F23" s="119">
        <f>SUMIFS(Tabla3[[#All],[EGRESOS]],Tabla3[[#All],[PERIODO]],Tabla4[[#Headers],[ABRIL]],Tabla3[[#All],[ACTIVIDAD]],ACTIVIDADES!B16,Tabla3[[#All],[CONCEPTO]],ACTIVIDADES!B18,Tabla3[[#All],[DETALLES]],Tabla4[[#This Row],[ACTIVIDADES]])</f>
        <v>0</v>
      </c>
      <c r="G23" s="119">
        <f>SUMIFS(Tabla3[[#All],[EGRESOS]],Tabla3[[#All],[PERIODO]],Tabla4[[#Headers],[MAYO]],Tabla3[[#All],[ACTIVIDAD]],ACTIVIDADES!$B$16,Tabla3[[#All],[CONCEPTO]],ACTIVIDADES!$B$18,Tabla3[[#All],[DETALLES]],Tabla4[[#This Row],[ACTIVIDADES]])</f>
        <v>0</v>
      </c>
      <c r="H23" s="119">
        <f>SUMIFS(Tabla3[[#All],[EGRESOS]],Tabla3[[#All],[PERIODO]],Tabla4[[#Headers],[JUNIO]],Tabla3[[#All],[ACTIVIDAD]],ACTIVIDADES!B16,Tabla3[[#All],[CONCEPTO]],ACTIVIDADES!B18,Tabla3[[#All],[DETALLES]],Tabla4[[#This Row],[ACTIVIDADES]])</f>
        <v>3146510.5</v>
      </c>
      <c r="I23" s="119">
        <f>SUMIFS(Tabla3[[#All],[EGRESOS]],Tabla3[[#All],[PERIODO]],Tabla4[[#Headers],[JULIO]],Tabla3[[#All],[ACTIVIDAD]],ACTIVIDADES!B16,Tabla3[[#All],[CONCEPTO]],ACTIVIDADES!B18,Tabla3[[#All],[DETALLES]],Tabla4[[#This Row],[ACTIVIDADES]])</f>
        <v>7097621</v>
      </c>
      <c r="J23" s="119"/>
      <c r="K23" s="119"/>
      <c r="L23" s="119"/>
      <c r="M23" s="119"/>
      <c r="N23" s="119"/>
      <c r="O23" s="239">
        <f>SUM(Tabla4[[#This Row],[ENERO]:[DICIEMBRE]])</f>
        <v>10244131.5</v>
      </c>
      <c r="P23" s="119">
        <v>37735800.480000012</v>
      </c>
      <c r="Q23" s="246">
        <f>Tabla4[[#This Row],[TOTAL]]/Tabla4[[#This Row],[ESTIMADO]]</f>
        <v>0.27146983420768811</v>
      </c>
      <c r="R23" s="99">
        <f>Tabla4[[#This Row],[ESTIMADO]]/1140</f>
        <v>33101.579368421066</v>
      </c>
      <c r="S23" s="99">
        <f>Tabla4[[#This Row],[USD]]/(350)</f>
        <v>94.57594105263162</v>
      </c>
    </row>
    <row r="24" spans="1:19" x14ac:dyDescent="0.25">
      <c r="A24" s="7"/>
      <c r="B24" s="249" t="s">
        <v>321</v>
      </c>
      <c r="C24" s="119">
        <f>SUMIFS(Tabla3[[#All],[EGRESOS]],Tabla3[[#All],[PERIODO]],Tabla4[[#Headers],[ENERO]],Tabla3[[#All],[ACTIVIDAD]],ACTIVIDADES!$B$16,Tabla3[[#All],[CONCEPTO]],ACTIVIDADES!$B$18,Tabla3[[#All],[DETALLES]],Tabla4[[#This Row],[ACTIVIDADES]])</f>
        <v>1100000</v>
      </c>
      <c r="D24" s="119">
        <f>SUMIFS(Tabla3[EGRESOS],Tabla3[ACTIVIDAD],ACTIVIDADES!$B$16,Tabla3[PERIODO],Tabla4[[#Headers],[FEBRERO]],Tabla3[CONCEPTO],ACTIVIDADES!B18,Tabla3[DETALLES],Tabla4[[#This Row],[ACTIVIDADES]])</f>
        <v>0</v>
      </c>
      <c r="E24" s="119">
        <f>SUMIFS(Tabla3[[#All],[EGRESOS]],Tabla3[[#All],[PERIODO]],Tabla4[[#Headers],[MARZO]],Tabla3[[#All],[ACTIVIDAD]],ACTIVIDADES!$B$16,Tabla3[[#All],[CONCEPTO]],ACTIVIDADES!$B$18,Tabla3[[#All],[DETALLES]],Tabla4[[#This Row],[ACTIVIDADES]])</f>
        <v>0</v>
      </c>
      <c r="F24" s="119">
        <f>SUMIFS(Tabla3[[#All],[EGRESOS]],Tabla3[[#All],[PERIODO]],Tabla4[[#Headers],[ABRIL]],Tabla3[[#All],[ACTIVIDAD]],ACTIVIDADES!B16,Tabla3[[#All],[CONCEPTO]],ACTIVIDADES!B18,Tabla3[[#All],[DETALLES]],Tabla4[[#This Row],[ACTIVIDADES]])</f>
        <v>0</v>
      </c>
      <c r="G24" s="119">
        <f>SUMIFS(Tabla3[[#All],[EGRESOS]],Tabla3[[#All],[PERIODO]],Tabla4[[#Headers],[MAYO]],Tabla3[[#All],[ACTIVIDAD]],ACTIVIDADES!$B$16,Tabla3[[#All],[CONCEPTO]],ACTIVIDADES!$B$18,Tabla3[[#All],[DETALLES]],Tabla4[[#This Row],[ACTIVIDADES]])</f>
        <v>0</v>
      </c>
      <c r="H24" s="119">
        <f>SUMIFS(Tabla3[[#All],[EGRESOS]],Tabla3[[#All],[PERIODO]],Tabla4[[#Headers],[JUNIO]],Tabla3[[#All],[ACTIVIDAD]],ACTIVIDADES!B16,Tabla3[[#All],[CONCEPTO]],ACTIVIDADES!B18,Tabla3[[#All],[DETALLES]],Tabla4[[#This Row],[ACTIVIDADES]])</f>
        <v>0</v>
      </c>
      <c r="I24" s="119">
        <f>SUMIFS(Tabla3[[#All],[EGRESOS]],Tabla3[[#All],[PERIODO]],Tabla4[[#Headers],[JULIO]],Tabla3[[#All],[ACTIVIDAD]],ACTIVIDADES!B16,Tabla3[[#All],[CONCEPTO]],ACTIVIDADES!B18,Tabla3[[#All],[DETALLES]],Tabla4[[#This Row],[ACTIVIDADES]])</f>
        <v>0</v>
      </c>
      <c r="J24" s="119"/>
      <c r="K24" s="119"/>
      <c r="L24" s="119"/>
      <c r="M24" s="119"/>
      <c r="N24" s="119"/>
      <c r="O24" s="239">
        <f>SUM(Tabla4[[#This Row],[ENERO]:[DICIEMBRE]])</f>
        <v>1100000</v>
      </c>
      <c r="P24" s="119">
        <v>1100000</v>
      </c>
      <c r="Q24" s="246">
        <f>Tabla4[[#This Row],[TOTAL]]/Tabla4[[#This Row],[ESTIMADO]]</f>
        <v>1</v>
      </c>
      <c r="R24" s="99">
        <f>Tabla4[[#This Row],[ESTIMADO]]/1140</f>
        <v>964.91228070175441</v>
      </c>
      <c r="S24" s="99">
        <f>Tabla4[[#This Row],[USD]]/(350)</f>
        <v>2.7568922305764412</v>
      </c>
    </row>
    <row r="25" spans="1:19" x14ac:dyDescent="0.25">
      <c r="A25" s="7"/>
      <c r="B25" s="249" t="s">
        <v>827</v>
      </c>
      <c r="C25" s="119">
        <f>SUMIFS(Tabla3[[#All],[EGRESOS]],Tabla3[[#All],[PERIODO]],Tabla4[[#Headers],[ENERO]],Tabla3[[#All],[ACTIVIDAD]],ACTIVIDADES!$B$16,Tabla3[[#All],[CONCEPTO]],ACTIVIDADES!$B$18,Tabla3[[#All],[DETALLES]],Tabla4[[#This Row],[ACTIVIDADES]])</f>
        <v>0</v>
      </c>
      <c r="D25" s="119">
        <f>SUMIFS(Tabla3[EGRESOS],Tabla3[ACTIVIDAD],ACTIVIDADES!$B$16,Tabla3[PERIODO],Tabla4[[#Headers],[FEBRERO]],Tabla3[CONCEPTO],ACTIVIDADES!B18,Tabla3[DETALLES],Tabla4[[#This Row],[ACTIVIDADES]])</f>
        <v>0</v>
      </c>
      <c r="E25" s="119">
        <f>SUMIFS(Tabla3[[#All],[EGRESOS]],Tabla3[[#All],[PERIODO]],Tabla4[[#Headers],[MARZO]],Tabla3[[#All],[ACTIVIDAD]],ACTIVIDADES!$B$16,Tabla3[[#All],[CONCEPTO]],ACTIVIDADES!$B$18,Tabla3[[#All],[DETALLES]],Tabla4[[#This Row],[ACTIVIDADES]])</f>
        <v>0</v>
      </c>
      <c r="F25" s="119">
        <f>SUMIFS(Tabla3[[#All],[EGRESOS]],Tabla3[[#All],[PERIODO]],Tabla4[[#Headers],[ABRIL]],Tabla3[[#All],[ACTIVIDAD]],ACTIVIDADES!B16,Tabla3[[#All],[CONCEPTO]],ACTIVIDADES!B18,Tabla3[[#All],[DETALLES]],Tabla4[[#This Row],[ACTIVIDADES]])</f>
        <v>0</v>
      </c>
      <c r="G25" s="119">
        <f>SUMIFS(Tabla3[[#All],[EGRESOS]],Tabla3[[#All],[PERIODO]],Tabla4[[#Headers],[MAYO]],Tabla3[[#All],[ACTIVIDAD]],ACTIVIDADES!$B$16,Tabla3[[#All],[CONCEPTO]],ACTIVIDADES!$B$18,Tabla3[[#All],[DETALLES]],Tabla4[[#This Row],[ACTIVIDADES]])</f>
        <v>500000</v>
      </c>
      <c r="H25" s="119">
        <f>SUMIFS(Tabla3[[#All],[EGRESOS]],Tabla3[[#All],[PERIODO]],Tabla4[[#Headers],[JUNIO]],Tabla3[[#All],[ACTIVIDAD]],ACTIVIDADES!$B$16,Tabla3[[#All],[CONCEPTO]],ACTIVIDADES!$B$18,Tabla3[[#All],[DETALLES]],Tabla4[[#This Row],[ACTIVIDADES]])</f>
        <v>2800000</v>
      </c>
      <c r="I25" s="119">
        <f>SUMIFS(Tabla3[[#All],[EGRESOS]],Tabla3[[#All],[PERIODO]],Tabla4[[#Headers],[JULIO]],Tabla3[[#All],[ACTIVIDAD]],ACTIVIDADES!B16,Tabla3[[#All],[CONCEPTO]],ACTIVIDADES!B18,Tabla3[[#All],[DETALLES]],Tabla4[[#This Row],[ACTIVIDADES]])</f>
        <v>4200000</v>
      </c>
      <c r="J25" s="119"/>
      <c r="K25" s="119"/>
      <c r="L25" s="119"/>
      <c r="M25" s="119"/>
      <c r="N25" s="119"/>
      <c r="O25" s="239">
        <f>SUM(Tabla4[[#This Row],[ENERO]:[DICIEMBRE]])</f>
        <v>7500000</v>
      </c>
      <c r="P25" s="119">
        <f>Tabla4[[#This Row],[USD]]*1140</f>
        <v>31094640.000000004</v>
      </c>
      <c r="Q25" s="246">
        <f>Tabla4[[#This Row],[TOTAL]]/Tabla4[[#This Row],[ESTIMADO]]</f>
        <v>0.24119912628028492</v>
      </c>
      <c r="R25" s="99">
        <v>27276.000000000004</v>
      </c>
      <c r="S25" s="99">
        <f>Tabla4[[#This Row],[USD]]/(350)</f>
        <v>77.931428571428583</v>
      </c>
    </row>
    <row r="26" spans="1:19" x14ac:dyDescent="0.25">
      <c r="A26" s="7"/>
      <c r="B26" s="250" t="s">
        <v>200</v>
      </c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239"/>
      <c r="P26" s="119"/>
      <c r="Q26" s="246"/>
      <c r="R26" s="99"/>
      <c r="S26" s="99"/>
    </row>
    <row r="27" spans="1:19" x14ac:dyDescent="0.25">
      <c r="A27" s="7"/>
      <c r="B27" s="249" t="s">
        <v>202</v>
      </c>
      <c r="C27" s="119">
        <f>SUMIFS(Tabla3[[#All],[EGRESOS]],Tabla3[[#All],[PERIODO]],Tabla4[[#Headers],[ENERO]],Tabla3[[#All],[ACTIVIDAD]],ACTIVIDADES!$B$16,Tabla3[[#All],[CONCEPTO]],ACTIVIDADES!$B$26,Tabla3[[#All],[DETALLES]],Tabla4[[#This Row],[ACTIVIDADES]])</f>
        <v>0</v>
      </c>
      <c r="D27" s="119">
        <f>SUMIFS(Tabla3[EGRESOS],Tabla3[ACTIVIDAD],ACTIVIDADES!$B$16,Tabla3[PERIODO],Tabla4[[#Headers],[FEBRERO]],Tabla3[CONCEPTO],ACTIVIDADES!B26,Tabla3[DETALLES],Tabla4[[#This Row],[ACTIVIDADES]])</f>
        <v>0</v>
      </c>
      <c r="E27" s="119">
        <f>SUMIFS(Tabla3[[#All],[EGRESOS]],Tabla3[[#All],[PERIODO]],Tabla4[[#Headers],[MARZO]],Tabla3[[#All],[ACTIVIDAD]],ACTIVIDADES!$B$16,Tabla3[[#All],[CONCEPTO]],ACTIVIDADES!$B$26,Tabla3[[#All],[DETALLES]],Tabla4[[#This Row],[ACTIVIDADES]])</f>
        <v>0</v>
      </c>
      <c r="F27" s="119">
        <f>SUMIFS(Tabla3[[#All],[EGRESOS]],Tabla3[[#All],[PERIODO]],Tabla4[[#Headers],[ABRIL]],Tabla3[[#All],[ACTIVIDAD]],ACTIVIDADES!B16,Tabla3[[#All],[CONCEPTO]],ACTIVIDADES!B26,Tabla3[[#All],[DETALLES]],Tabla4[[#This Row],[ACTIVIDADES]])</f>
        <v>8508500</v>
      </c>
      <c r="G27" s="119">
        <f>SUMIFS(Tabla3[[#All],[EGRESOS]],Tabla3[[#All],[PERIODO]],Tabla4[[#Headers],[MAYO]],Tabla3[[#All],[ACTIVIDAD]],ACTIVIDADES!$B$16,Tabla3[[#All],[CONCEPTO]],ACTIVIDADES!$B$26,Tabla3[[#All],[DETALLES]],Tabla4[[#This Row],[ACTIVIDADES]])</f>
        <v>0</v>
      </c>
      <c r="H27" s="119">
        <f>SUMIFS(Tabla3[[#All],[EGRESOS]],Tabla3[[#All],[PERIODO]],Tabla4[[#Headers],[JUNIO]],Tabla3[[#All],[ACTIVIDAD]],ACTIVIDADES!B16,Tabla3[[#All],[CONCEPTO]],ACTIVIDADES!B26,Tabla3[[#All],[DETALLES]],Tabla4[[#This Row],[ACTIVIDADES]])</f>
        <v>0</v>
      </c>
      <c r="I27" s="119">
        <f>SUMIFS(Tabla3[[#All],[EGRESOS]],Tabla3[[#All],[PERIODO]],Tabla4[[#Headers],[JULIO]],Tabla3[[#All],[ACTIVIDAD]],ACTIVIDADES!B16,Tabla3[[#All],[CONCEPTO]],ACTIVIDADES!B26,Tabla3[[#All],[DETALLES]],Tabla4[[#This Row],[ACTIVIDADES]])</f>
        <v>0</v>
      </c>
      <c r="J27" s="119"/>
      <c r="K27" s="119"/>
      <c r="L27" s="119"/>
      <c r="M27" s="119"/>
      <c r="N27" s="119"/>
      <c r="O27" s="239">
        <f>SUM(Tabla4[[#This Row],[ENERO]:[DICIEMBRE]])</f>
        <v>8508500</v>
      </c>
      <c r="P27" s="119">
        <f>Tabla4[[#This Row],[USD]]*1140</f>
        <v>8508500</v>
      </c>
      <c r="Q27" s="246">
        <f>Tabla4[[#This Row],[TOTAL]]/Tabla4[[#This Row],[ESTIMADO]]</f>
        <v>1</v>
      </c>
      <c r="R27" s="99">
        <v>7463.5964912280706</v>
      </c>
      <c r="S27" s="99">
        <f>Tabla4[[#This Row],[USD]]/140</f>
        <v>53.311403508771932</v>
      </c>
    </row>
    <row r="28" spans="1:19" x14ac:dyDescent="0.25">
      <c r="A28" s="7"/>
      <c r="B28" s="249" t="s">
        <v>501</v>
      </c>
      <c r="C28" s="119">
        <f>SUMIFS(Tabla3[[#All],[EGRESOS]],Tabla3[[#All],[PERIODO]],Tabla4[[#Headers],[ENERO]],Tabla3[[#All],[ACTIVIDAD]],ACTIVIDADES!$B$16,Tabla3[[#All],[CONCEPTO]],ACTIVIDADES!$B$26,Tabla3[[#All],[DETALLES]],Tabla4[[#This Row],[ACTIVIDADES]])</f>
        <v>0</v>
      </c>
      <c r="D28" s="119">
        <f>SUMIFS(Tabla3[EGRESOS],Tabla3[ACTIVIDAD],ACTIVIDADES!$B$16,Tabla3[PERIODO],Tabla4[[#Headers],[FEBRERO]],Tabla3[CONCEPTO],ACTIVIDADES!B26,Tabla3[DETALLES],Tabla4[[#This Row],[ACTIVIDADES]])</f>
        <v>0</v>
      </c>
      <c r="E28" s="119">
        <f>SUMIFS(Tabla3[[#All],[EGRESOS]],Tabla3[[#All],[PERIODO]],Tabla4[[#Headers],[MARZO]],Tabla3[[#All],[ACTIVIDAD]],ACTIVIDADES!$B$16,Tabla3[[#All],[CONCEPTO]],ACTIVIDADES!$B$26,Tabla3[[#All],[DETALLES]],Tabla4[[#This Row],[ACTIVIDADES]])</f>
        <v>0</v>
      </c>
      <c r="F28" s="119">
        <f>SUMIFS(Tabla3[[#All],[EGRESOS]],Tabla3[[#All],[PERIODO]],Tabla4[[#Headers],[ABRIL]],Tabla3[[#All],[ACTIVIDAD]],ACTIVIDADES!B16,Tabla3[[#All],[CONCEPTO]],ACTIVIDADES!B26,Tabla3[[#All],[DETALLES]],Tabla4[[#This Row],[ACTIVIDADES]])</f>
        <v>0</v>
      </c>
      <c r="G28" s="119">
        <f>SUMIFS(Tabla3[[#All],[EGRESOS]],Tabla3[[#All],[PERIODO]],Tabla4[[#Headers],[MAYO]],Tabla3[[#All],[ACTIVIDAD]],ACTIVIDADES!$B$16,Tabla3[[#All],[CONCEPTO]],ACTIVIDADES!$B$26,Tabla3[[#All],[DETALLES]],Tabla4[[#This Row],[ACTIVIDADES]])</f>
        <v>0</v>
      </c>
      <c r="H28" s="119">
        <f>SUMIFS(Tabla3[[#All],[EGRESOS]],Tabla3[[#All],[PERIODO]],Tabla4[[#Headers],[JUNIO]],Tabla3[[#All],[ACTIVIDAD]],ACTIVIDADES!B16,Tabla3[[#All],[CONCEPTO]],ACTIVIDADES!B26,Tabla3[[#All],[DETALLES]],Tabla4[[#This Row],[ACTIVIDADES]])</f>
        <v>0</v>
      </c>
      <c r="I28" s="119">
        <f>SUMIFS(Tabla3[[#All],[EGRESOS]],Tabla3[[#All],[PERIODO]],Tabla4[[#Headers],[JULIO]],Tabla3[[#All],[ACTIVIDAD]],ACTIVIDADES!B16,Tabla3[[#All],[CONCEPTO]],ACTIVIDADES!B26,Tabla3[[#All],[DETALLES]],Tabla4[[#This Row],[ACTIVIDADES]])</f>
        <v>0</v>
      </c>
      <c r="J28" s="119"/>
      <c r="K28" s="119"/>
      <c r="L28" s="119"/>
      <c r="M28" s="119"/>
      <c r="N28" s="119"/>
      <c r="O28" s="239">
        <f>SUM(Tabla4[[#This Row],[ENERO]:[DICIEMBRE]])</f>
        <v>0</v>
      </c>
      <c r="P28" s="119">
        <f>Tabla4[[#This Row],[USD]]*1140</f>
        <v>16299752.012240665</v>
      </c>
      <c r="Q28" s="246">
        <f>Tabla4[[#This Row],[TOTAL]]/Tabla4[[#This Row],[ESTIMADO]]</f>
        <v>0</v>
      </c>
      <c r="R28" s="99">
        <v>14298.028080912864</v>
      </c>
      <c r="S28" s="99">
        <f>Tabla4[[#This Row],[USD]]/140</f>
        <v>102.12877200652045</v>
      </c>
    </row>
    <row r="29" spans="1:19" x14ac:dyDescent="0.25">
      <c r="A29" s="7"/>
      <c r="B29" s="249" t="s">
        <v>203</v>
      </c>
      <c r="C29" s="119">
        <f>SUMIFS(Tabla3[[#All],[EGRESOS]],Tabla3[[#All],[PERIODO]],Tabla4[[#Headers],[ENERO]],Tabla3[[#All],[ACTIVIDAD]],ACTIVIDADES!$B$16,Tabla3[[#All],[CONCEPTO]],ACTIVIDADES!$B$26,Tabla3[[#All],[DETALLES]],Tabla4[[#This Row],[ACTIVIDADES]])</f>
        <v>0</v>
      </c>
      <c r="D29" s="119">
        <f>SUMIFS(Tabla3[EGRESOS],Tabla3[ACTIVIDAD],ACTIVIDADES!$B$16,Tabla3[PERIODO],Tabla4[[#Headers],[FEBRERO]],Tabla3[CONCEPTO],ACTIVIDADES!B26,Tabla3[DETALLES],Tabla4[[#This Row],[ACTIVIDADES]])</f>
        <v>0</v>
      </c>
      <c r="E29" s="119">
        <f>SUMIFS(Tabla3[[#All],[EGRESOS]],Tabla3[[#All],[PERIODO]],Tabla4[[#Headers],[MARZO]],Tabla3[[#All],[ACTIVIDAD]],ACTIVIDADES!$B$16,Tabla3[[#All],[CONCEPTO]],ACTIVIDADES!$B$26,Tabla3[[#All],[DETALLES]],Tabla4[[#This Row],[ACTIVIDADES]])</f>
        <v>0</v>
      </c>
      <c r="F29" s="119">
        <f>SUMIFS(Tabla3[[#All],[EGRESOS]],Tabla3[[#All],[PERIODO]],Tabla4[[#Headers],[ABRIL]],Tabla3[[#All],[ACTIVIDAD]],ACTIVIDADES!B16,Tabla3[[#All],[CONCEPTO]],ACTIVIDADES!B26,Tabla3[[#All],[DETALLES]],Tabla4[[#This Row],[ACTIVIDADES]])</f>
        <v>0</v>
      </c>
      <c r="G29" s="119">
        <f>SUMIFS(Tabla3[[#All],[EGRESOS]],Tabla3[[#All],[PERIODO]],Tabla4[[#Headers],[MAYO]],Tabla3[[#All],[ACTIVIDAD]],ACTIVIDADES!$B$16,Tabla3[[#All],[CONCEPTO]],ACTIVIDADES!$B$26,Tabla3[[#All],[DETALLES]],Tabla4[[#This Row],[ACTIVIDADES]])</f>
        <v>0</v>
      </c>
      <c r="H29" s="119">
        <f>SUMIFS(Tabla3[[#All],[EGRESOS]],Tabla3[[#All],[PERIODO]],Tabla4[[#Headers],[JUNIO]],Tabla3[[#All],[ACTIVIDAD]],ACTIVIDADES!B16,Tabla3[[#All],[CONCEPTO]],ACTIVIDADES!B26,Tabla3[[#All],[DETALLES]],Tabla4[[#This Row],[ACTIVIDADES]])</f>
        <v>0</v>
      </c>
      <c r="I29" s="119">
        <f>SUMIFS(Tabla3[[#All],[EGRESOS]],Tabla3[[#All],[PERIODO]],Tabla4[[#Headers],[JULIO]],Tabla3[[#All],[ACTIVIDAD]],ACTIVIDADES!B16,Tabla3[[#All],[CONCEPTO]],ACTIVIDADES!B26,Tabla3[[#All],[DETALLES]],Tabla4[[#This Row],[ACTIVIDADES]])</f>
        <v>0</v>
      </c>
      <c r="J29" s="119"/>
      <c r="K29" s="119"/>
      <c r="L29" s="119"/>
      <c r="M29" s="119"/>
      <c r="N29" s="119"/>
      <c r="O29" s="239">
        <f>SUM(Tabla4[[#This Row],[ENERO]:[DICIEMBRE]])</f>
        <v>0</v>
      </c>
      <c r="P29" s="119">
        <f>Tabla4[[#This Row],[USD]]*1140</f>
        <v>5432942.6666666698</v>
      </c>
      <c r="Q29" s="246">
        <f>Tabla4[[#This Row],[TOTAL]]/Tabla4[[#This Row],[ESTIMADO]]</f>
        <v>0</v>
      </c>
      <c r="R29" s="99">
        <v>4765.7391812865526</v>
      </c>
      <c r="S29" s="99">
        <f>Tabla4[[#This Row],[USD]]/140</f>
        <v>34.040994152046807</v>
      </c>
    </row>
    <row r="30" spans="1:19" x14ac:dyDescent="0.25">
      <c r="A30" s="7"/>
      <c r="B30" s="249" t="s">
        <v>441</v>
      </c>
      <c r="C30" s="119">
        <f>SUMIFS(Tabla3[[#All],[EGRESOS]],Tabla3[[#All],[PERIODO]],Tabla4[[#Headers],[ENERO]],Tabla3[[#All],[ACTIVIDAD]],ACTIVIDADES!$B$16,Tabla3[[#All],[CONCEPTO]],ACTIVIDADES!$B$26,Tabla3[[#All],[DETALLES]],Tabla4[[#This Row],[ACTIVIDADES]])</f>
        <v>326700</v>
      </c>
      <c r="D30" s="119">
        <f>SUMIFS(Tabla3[EGRESOS],Tabla3[ACTIVIDAD],ACTIVIDADES!$B$16,Tabla3[PERIODO],Tabla4[[#Headers],[FEBRERO]],Tabla3[CONCEPTO],ACTIVIDADES!B26,Tabla3[DETALLES],Tabla4[[#This Row],[ACTIVIDADES]])</f>
        <v>0</v>
      </c>
      <c r="E30" s="119">
        <f>SUMIFS(Tabla3[[#All],[EGRESOS]],Tabla3[[#All],[PERIODO]],Tabla4[[#Headers],[MARZO]],Tabla3[[#All],[ACTIVIDAD]],ACTIVIDADES!$B$16,Tabla3[[#All],[CONCEPTO]],ACTIVIDADES!$B$26,Tabla3[[#All],[DETALLES]],Tabla4[[#This Row],[ACTIVIDADES]])</f>
        <v>0</v>
      </c>
      <c r="F30" s="119">
        <f>SUMIFS(Tabla3[[#All],[EGRESOS]],Tabla3[[#All],[PERIODO]],Tabla4[[#Headers],[ABRIL]],Tabla3[[#All],[ACTIVIDAD]],ACTIVIDADES!B16,Tabla3[[#All],[CONCEPTO]],ACTIVIDADES!B26,Tabla3[[#All],[DETALLES]],Tabla4[[#This Row],[ACTIVIDADES]])</f>
        <v>0</v>
      </c>
      <c r="G30" s="119">
        <f>SUMIFS(Tabla3[[#All],[EGRESOS]],Tabla3[[#All],[PERIODO]],Tabla4[[#Headers],[MAYO]],Tabla3[[#All],[ACTIVIDAD]],ACTIVIDADES!$B$16,Tabla3[[#All],[CONCEPTO]],ACTIVIDADES!$B$26,Tabla3[[#All],[DETALLES]],Tabla4[[#This Row],[ACTIVIDADES]])</f>
        <v>0</v>
      </c>
      <c r="H30" s="119">
        <f>SUMIFS(Tabla3[[#All],[EGRESOS]],Tabla3[[#All],[PERIODO]],Tabla4[[#Headers],[JUNIO]],Tabla3[[#All],[ACTIVIDAD]],ACTIVIDADES!B16,Tabla3[[#All],[CONCEPTO]],ACTIVIDADES!B26,Tabla3[[#All],[DETALLES]],Tabla4[[#This Row],[ACTIVIDADES]])</f>
        <v>0</v>
      </c>
      <c r="I30" s="119">
        <f>SUMIFS(Tabla3[[#All],[EGRESOS]],Tabla3[[#All],[PERIODO]],Tabla4[[#Headers],[JULIO]],Tabla3[[#All],[ACTIVIDAD]],ACTIVIDADES!B16,Tabla3[[#All],[CONCEPTO]],ACTIVIDADES!B26,Tabla3[[#All],[DETALLES]],Tabla4[[#This Row],[ACTIVIDADES]])</f>
        <v>0</v>
      </c>
      <c r="J30" s="119"/>
      <c r="K30" s="119"/>
      <c r="L30" s="119"/>
      <c r="M30" s="119"/>
      <c r="N30" s="119"/>
      <c r="O30" s="239">
        <f>SUM(Tabla4[[#This Row],[ENERO]:[DICIEMBRE]])</f>
        <v>326700</v>
      </c>
      <c r="P30" s="119">
        <f>Tabla4[[#This Row],[USD]]*1140</f>
        <v>500000</v>
      </c>
      <c r="Q30" s="246">
        <f>Tabla4[[#This Row],[TOTAL]]/Tabla4[[#This Row],[ESTIMADO]]</f>
        <v>0.65339999999999998</v>
      </c>
      <c r="R30" s="99">
        <v>438.59649122807019</v>
      </c>
      <c r="S30" s="99">
        <f>Tabla4[[#This Row],[USD]]/140</f>
        <v>3.1328320802005014</v>
      </c>
    </row>
    <row r="31" spans="1:19" x14ac:dyDescent="0.25">
      <c r="A31" s="7"/>
      <c r="B31" s="249" t="s">
        <v>33</v>
      </c>
      <c r="C31" s="119">
        <f>SUMIFS(Tabla3[[#All],[EGRESOS]],Tabla3[[#All],[PERIODO]],Tabla4[[#Headers],[ENERO]],Tabla3[[#All],[ACTIVIDAD]],ACTIVIDADES!$B$16,Tabla3[[#All],[CONCEPTO]],ACTIVIDADES!$B$26,Tabla3[[#All],[DETALLES]],Tabla4[[#This Row],[ACTIVIDADES]])</f>
        <v>0</v>
      </c>
      <c r="D31" s="119">
        <f>SUMIFS(Tabla3[EGRESOS],Tabla3[ACTIVIDAD],ACTIVIDADES!$B$16,Tabla3[PERIODO],Tabla4[[#Headers],[FEBRERO]],Tabla3[CONCEPTO],ACTIVIDADES!B26,Tabla3[DETALLES],Tabla4[[#This Row],[ACTIVIDADES]])</f>
        <v>0</v>
      </c>
      <c r="E31" s="119">
        <f>SUMIFS(Tabla3[[#All],[EGRESOS]],Tabla3[[#All],[PERIODO]],Tabla4[[#Headers],[MARZO]],Tabla3[[#All],[ACTIVIDAD]],ACTIVIDADES!$B$16,Tabla3[[#All],[CONCEPTO]],ACTIVIDADES!$B$26,Tabla3[[#All],[DETALLES]],Tabla4[[#This Row],[ACTIVIDADES]])</f>
        <v>0</v>
      </c>
      <c r="F31" s="119">
        <f>SUMIFS(Tabla3[[#All],[EGRESOS]],Tabla3[[#All],[PERIODO]],Tabla4[[#Headers],[ABRIL]],Tabla3[[#All],[ACTIVIDAD]],ACTIVIDADES!B16,Tabla3[[#All],[CONCEPTO]],ACTIVIDADES!B26,Tabla3[[#All],[DETALLES]],Tabla4[[#This Row],[ACTIVIDADES]])</f>
        <v>0</v>
      </c>
      <c r="G31" s="119">
        <f>SUMIFS(Tabla3[[#All],[EGRESOS]],Tabla3[[#All],[PERIODO]],Tabla4[[#Headers],[MAYO]],Tabla3[[#All],[ACTIVIDAD]],ACTIVIDADES!$B$16,Tabla3[[#All],[CONCEPTO]],ACTIVIDADES!$B$26,Tabla3[[#All],[DETALLES]],Tabla4[[#This Row],[ACTIVIDADES]])</f>
        <v>0</v>
      </c>
      <c r="H31" s="119">
        <f>SUMIFS(Tabla3[[#All],[EGRESOS]],Tabla3[[#All],[PERIODO]],Tabla4[[#Headers],[JUNIO]],Tabla3[[#All],[ACTIVIDAD]],ACTIVIDADES!B16,Tabla3[[#All],[CONCEPTO]],ACTIVIDADES!B26,Tabla3[[#All],[DETALLES]],Tabla4[[#This Row],[ACTIVIDADES]])</f>
        <v>0</v>
      </c>
      <c r="I31" s="119">
        <f>SUMIFS(Tabla3[[#All],[EGRESOS]],Tabla3[[#All],[PERIODO]],Tabla4[[#Headers],[JULIO]],Tabla3[[#All],[ACTIVIDAD]],ACTIVIDADES!B16,Tabla3[[#All],[CONCEPTO]],ACTIVIDADES!B26,Tabla3[[#All],[DETALLES]],Tabla4[[#This Row],[ACTIVIDADES]])</f>
        <v>0</v>
      </c>
      <c r="J31" s="119"/>
      <c r="K31" s="119"/>
      <c r="L31" s="119"/>
      <c r="M31" s="119"/>
      <c r="N31" s="119"/>
      <c r="O31" s="239">
        <f>SUM(Tabla4[[#This Row],[ENERO]:[DICIEMBRE]])</f>
        <v>0</v>
      </c>
      <c r="P31" s="119">
        <f>Tabla4[[#This Row],[USD]]*1140</f>
        <v>56517052.342599966</v>
      </c>
      <c r="Q31" s="246">
        <f>Tabla4[[#This Row],[TOTAL]]/Tabla4[[#This Row],[ESTIMADO]]</f>
        <v>0</v>
      </c>
      <c r="R31" s="99">
        <v>49576.361704035058</v>
      </c>
      <c r="S31" s="99">
        <f>Tabla4[[#This Row],[USD]]/140</f>
        <v>354.11686931453613</v>
      </c>
    </row>
    <row r="32" spans="1:19" x14ac:dyDescent="0.25">
      <c r="A32" s="7"/>
      <c r="B32" s="249" t="s">
        <v>736</v>
      </c>
      <c r="C32" s="119">
        <f>SUMIFS(Tabla3[[#All],[EGRESOS]],Tabla3[[#All],[PERIODO]],Tabla4[[#Headers],[ENERO]],Tabla3[[#All],[ACTIVIDAD]],ACTIVIDADES!$B$16,Tabla3[[#All],[CONCEPTO]],ACTIVIDADES!$B$26,Tabla3[[#All],[DETALLES]],Tabla4[[#This Row],[ACTIVIDADES]])</f>
        <v>0</v>
      </c>
      <c r="D32" s="119">
        <f>SUMIFS(Tabla3[EGRESOS],Tabla3[ACTIVIDAD],ACTIVIDADES!$B$16,Tabla3[PERIODO],Tabla4[[#Headers],[FEBRERO]],Tabla3[CONCEPTO],ACTIVIDADES!B26,Tabla3[DETALLES],Tabla4[[#This Row],[ACTIVIDADES]])</f>
        <v>0</v>
      </c>
      <c r="E32" s="119">
        <f>SUMIFS(Tabla3[[#All],[EGRESOS]],Tabla3[[#All],[PERIODO]],Tabla4[[#Headers],[MARZO]],Tabla3[[#All],[ACTIVIDAD]],ACTIVIDADES!$B$16,Tabla3[[#All],[CONCEPTO]],ACTIVIDADES!$B$26,Tabla3[[#All],[DETALLES]],Tabla4[[#This Row],[ACTIVIDADES]])</f>
        <v>0</v>
      </c>
      <c r="F32" s="119">
        <f>SUMIFS(Tabla3[[#All],[EGRESOS]],Tabla3[[#All],[PERIODO]],Tabla4[[#Headers],[ABRIL]],Tabla3[[#All],[ACTIVIDAD]],ACTIVIDADES!B16,Tabla3[[#All],[CONCEPTO]],ACTIVIDADES!B26,Tabla3[[#All],[DETALLES]],Tabla4[[#This Row],[ACTIVIDADES]])</f>
        <v>0</v>
      </c>
      <c r="G32" s="119">
        <f>SUMIFS(Tabla3[[#All],[EGRESOS]],Tabla3[[#All],[PERIODO]],Tabla4[[#Headers],[MAYO]],Tabla3[[#All],[ACTIVIDAD]],ACTIVIDADES!$B$16,Tabla3[[#All],[CONCEPTO]],ACTIVIDADES!$B$26,Tabla3[[#All],[DETALLES]],Tabla4[[#This Row],[ACTIVIDADES]])</f>
        <v>0</v>
      </c>
      <c r="H32" s="119">
        <f>SUMIFS(Tabla3[[#All],[EGRESOS]],Tabla3[[#All],[PERIODO]],Tabla4[[#Headers],[JUNIO]],Tabla3[[#All],[ACTIVIDAD]],ACTIVIDADES!B16,Tabla3[[#All],[CONCEPTO]],ACTIVIDADES!B26,Tabla3[[#All],[DETALLES]],Tabla4[[#This Row],[ACTIVIDADES]])</f>
        <v>0</v>
      </c>
      <c r="I32" s="119">
        <f>SUMIFS(Tabla3[[#All],[EGRESOS]],Tabla3[[#All],[PERIODO]],Tabla4[[#Headers],[JULIO]],Tabla3[[#All],[ACTIVIDAD]],ACTIVIDADES!B16,Tabla3[[#All],[CONCEPTO]],ACTIVIDADES!B26,Tabla3[[#All],[DETALLES]],Tabla4[[#This Row],[ACTIVIDADES]])</f>
        <v>0</v>
      </c>
      <c r="J32" s="119"/>
      <c r="K32" s="119"/>
      <c r="L32" s="119"/>
      <c r="M32" s="119"/>
      <c r="N32" s="119"/>
      <c r="O32" s="239">
        <f>SUM(Tabla4[[#This Row],[ENERO]:[DICIEMBRE]])</f>
        <v>0</v>
      </c>
      <c r="P32" s="119">
        <f>Tabla4[[#This Row],[USD]]*1140</f>
        <v>38818659.384615369</v>
      </c>
      <c r="Q32" s="246">
        <f>Tabla4[[#This Row],[TOTAL]]/Tabla4[[#This Row],[ESTIMADO]]</f>
        <v>0</v>
      </c>
      <c r="R32" s="99">
        <v>34051.455600539797</v>
      </c>
      <c r="S32" s="99">
        <f>Tabla4[[#This Row],[USD]]/140</f>
        <v>243.22468286099854</v>
      </c>
    </row>
    <row r="33" spans="1:19" x14ac:dyDescent="0.25">
      <c r="A33" s="7"/>
      <c r="B33" s="249" t="s">
        <v>249</v>
      </c>
      <c r="C33" s="119">
        <f>SUMIFS(Tabla3[[#All],[EGRESOS]],Tabla3[[#All],[PERIODO]],Tabla4[[#Headers],[ENERO]],Tabla3[[#All],[ACTIVIDAD]],ACTIVIDADES!$B$16,Tabla3[[#All],[CONCEPTO]],ACTIVIDADES!$B$26,Tabla3[[#All],[DETALLES]],Tabla4[[#This Row],[ACTIVIDADES]])</f>
        <v>0</v>
      </c>
      <c r="D33" s="119">
        <f>SUMIFS(Tabla3[EGRESOS],Tabla3[ACTIVIDAD],ACTIVIDADES!$B$16,Tabla3[PERIODO],Tabla4[[#Headers],[FEBRERO]],Tabla3[CONCEPTO],ACTIVIDADES!B26,Tabla3[DETALLES],Tabla4[[#This Row],[ACTIVIDADES]])</f>
        <v>0</v>
      </c>
      <c r="E33" s="119">
        <f>SUMIFS(Tabla3[[#All],[EGRESOS]],Tabla3[[#All],[PERIODO]],Tabla4[[#Headers],[MARZO]],Tabla3[[#All],[ACTIVIDAD]],ACTIVIDADES!$B$16,Tabla3[[#All],[CONCEPTO]],ACTIVIDADES!$B$26,Tabla3[[#All],[DETALLES]],Tabla4[[#This Row],[ACTIVIDADES]])</f>
        <v>0</v>
      </c>
      <c r="F33" s="119">
        <f>SUMIFS(Tabla3[[#All],[EGRESOS]],Tabla3[[#All],[PERIODO]],Tabla4[[#Headers],[ABRIL]],Tabla3[[#All],[ACTIVIDAD]],ACTIVIDADES!B16,Tabla3[[#All],[CONCEPTO]],ACTIVIDADES!B26,Tabla3[[#All],[DETALLES]],Tabla4[[#This Row],[ACTIVIDADES]])</f>
        <v>0</v>
      </c>
      <c r="G33" s="119">
        <f>SUMIFS(Tabla3[[#All],[EGRESOS]],Tabla3[[#All],[PERIODO]],Tabla4[[#Headers],[MAYO]],Tabla3[[#All],[ACTIVIDAD]],ACTIVIDADES!$B$16,Tabla3[[#All],[CONCEPTO]],ACTIVIDADES!$B$26,Tabla3[[#All],[DETALLES]],Tabla4[[#This Row],[ACTIVIDADES]])</f>
        <v>10000000</v>
      </c>
      <c r="H33" s="119">
        <f>SUMIFS(Tabla3[[#All],[EGRESOS]],Tabla3[[#All],[PERIODO]],Tabla4[[#Headers],[JUNIO]],Tabla3[[#All],[ACTIVIDAD]],ACTIVIDADES!B16,Tabla3[[#All],[CONCEPTO]],ACTIVIDADES!B26,Tabla3[[#All],[DETALLES]],Tabla4[[#This Row],[ACTIVIDADES]])</f>
        <v>0</v>
      </c>
      <c r="I33" s="119">
        <f>SUMIFS(Tabla3[[#All],[EGRESOS]],Tabla3[[#All],[PERIODO]],Tabla4[[#Headers],[JULIO]],Tabla3[[#All],[ACTIVIDAD]],ACTIVIDADES!B16,Tabla3[[#All],[CONCEPTO]],ACTIVIDADES!B26,Tabla3[[#All],[DETALLES]],Tabla4[[#This Row],[ACTIVIDADES]])</f>
        <v>0</v>
      </c>
      <c r="J33" s="119"/>
      <c r="K33" s="119"/>
      <c r="L33" s="119"/>
      <c r="M33" s="119"/>
      <c r="N33" s="119"/>
      <c r="O33" s="239">
        <f>SUM(Tabla4[[#This Row],[ENERO]:[DICIEMBRE]])</f>
        <v>10000000</v>
      </c>
      <c r="P33" s="119">
        <f>Tabla4[[#This Row],[USD]]*1140</f>
        <v>13740125.165477982</v>
      </c>
      <c r="Q33" s="246">
        <f>Tabla4[[#This Row],[TOTAL]]/Tabla4[[#This Row],[ESTIMADO]]</f>
        <v>0.72779540794322362</v>
      </c>
      <c r="R33" s="99">
        <v>12052.741373226299</v>
      </c>
      <c r="S33" s="99">
        <f>Tabla4[[#This Row],[USD]]/140</f>
        <v>86.091009808759281</v>
      </c>
    </row>
    <row r="34" spans="1:19" x14ac:dyDescent="0.25">
      <c r="A34" s="7"/>
      <c r="B34" s="249" t="s">
        <v>1031</v>
      </c>
      <c r="C34" s="119">
        <f>SUMIFS(Tabla3[[#All],[EGRESOS]],Tabla3[[#All],[PERIODO]],Tabla4[[#Headers],[ENERO]],Tabla3[[#All],[ACTIVIDAD]],ACTIVIDADES!$B$15,Tabla3[[#All],[CONCEPTO]],ACTIVIDADES!$B$26,Tabla3[[#All],[DETALLES]],Tabla4[[#This Row],[ACTIVIDADES]])</f>
        <v>0</v>
      </c>
      <c r="D34" s="119">
        <f>SUMIFS(Tabla3[[#All],[INGRESOS]],Tabla3[[#All],[FECHA]],Tabla4[[#Headers],[FEBRERO]],Tabla3[[#All],[RUBRO]],ACTIVIDADES!$B$15,Tabla3[[#All],[DETALLES]],ACTIVIDADES!$B$26,Tabla3[[#All],[PROVEEDOR CLIENTE]],Tabla4[[#This Row],[ACTIVIDADES]])</f>
        <v>0</v>
      </c>
      <c r="E34" s="119">
        <f>SUMIFS(Tabla3[[#All],[EGRESOS]],Tabla3[[#All],[PERIODO]],Tabla4[[#Headers],[MARZO]],Tabla3[[#All],[ACTIVIDAD]],ACTIVIDADES!B16,Tabla3[[#All],[CONCEPTO]],ACTIVIDADES!B26,Tabla3[[#All],[DETALLES]],Tabla4[[#This Row],[ACTIVIDADES]])</f>
        <v>0</v>
      </c>
      <c r="F34" s="119">
        <f>SUMIFS(Tabla3[[#All],[EGRESOS]],Tabla3[[#All],[PERIODO]],Tabla4[[#Headers],[ABRIL]],Tabla3[[#All],[ACTIVIDAD]],ACTIVIDADES!B16,Tabla3[[#All],[CONCEPTO]],ACTIVIDADES!B26,Tabla3[[#All],[DETALLES]],Tabla4[[#This Row],[ACTIVIDADES]])</f>
        <v>0</v>
      </c>
      <c r="G34" s="119">
        <f>SUMIFS(Tabla3[[#All],[EGRESOS]],Tabla3[[#All],[PERIODO]],Tabla4[[#Headers],[MAYO]],Tabla3[[#All],[ACTIVIDAD]],ACTIVIDADES!B16,Tabla3[[#All],[CONCEPTO]],ACTIVIDADES!B26,Tabla3[[#All],[DETALLES]],Tabla4[[#This Row],[ACTIVIDADES]])</f>
        <v>0</v>
      </c>
      <c r="H34" s="119">
        <f>SUMIFS(Tabla3[[#All],[EGRESOS]],Tabla3[[#All],[PERIODO]],Tabla4[[#Headers],[JUNIO]],Tabla3[[#All],[ACTIVIDAD]],ACTIVIDADES!B16,Tabla3[[#All],[CONCEPTO]],ACTIVIDADES!B26,Tabla3[[#All],[DETALLES]],Tabla4[[#This Row],[ACTIVIDADES]])</f>
        <v>0</v>
      </c>
      <c r="I34" s="119">
        <f>SUMIFS(Tabla3[[#All],[EGRESOS]],Tabla3[[#All],[PERIODO]],Tabla4[[#Headers],[JULIO]],Tabla3[[#All],[ACTIVIDAD]],ACTIVIDADES!B16,Tabla3[[#All],[CONCEPTO]],ACTIVIDADES!B26,Tabla3[[#All],[DETALLES]],Tabla4[[#This Row],[ACTIVIDADES]])</f>
        <v>8184079.3300000001</v>
      </c>
      <c r="J34" s="119"/>
      <c r="K34" s="119"/>
      <c r="L34" s="119"/>
      <c r="M34" s="119"/>
      <c r="N34" s="119"/>
      <c r="O34" s="239">
        <f>SUM(Tabla4[[#This Row],[ENERO]:[DICIEMBRE]])</f>
        <v>8184079.3300000001</v>
      </c>
      <c r="P34" s="119">
        <f>Tabla4[[#This Row],[USD]]*1140</f>
        <v>23940000</v>
      </c>
      <c r="Q34" s="246">
        <f>Tabla4[[#This Row],[TOTAL]]/Tabla4[[#This Row],[ESTIMADO]]</f>
        <v>0.34185795029239768</v>
      </c>
      <c r="R34" s="99">
        <v>21000</v>
      </c>
      <c r="S34" s="99">
        <f>Tabla4[[#This Row],[USD]]/140</f>
        <v>150</v>
      </c>
    </row>
    <row r="35" spans="1:19" x14ac:dyDescent="0.25">
      <c r="A35" s="7"/>
      <c r="B35" s="248" t="s">
        <v>219</v>
      </c>
      <c r="C35" s="265">
        <f>SUBTOTAL(109,C36:C40)</f>
        <v>0</v>
      </c>
      <c r="D35" s="265">
        <f t="shared" ref="D35:N35" si="2">SUBTOTAL(109,D36:D40)</f>
        <v>0</v>
      </c>
      <c r="E35" s="265">
        <f t="shared" si="2"/>
        <v>0</v>
      </c>
      <c r="F35" s="265">
        <f t="shared" si="2"/>
        <v>0</v>
      </c>
      <c r="G35" s="265">
        <f t="shared" si="2"/>
        <v>0</v>
      </c>
      <c r="H35" s="265">
        <f t="shared" si="2"/>
        <v>0</v>
      </c>
      <c r="I35" s="265">
        <f t="shared" si="2"/>
        <v>0</v>
      </c>
      <c r="J35" s="265">
        <f t="shared" si="2"/>
        <v>0</v>
      </c>
      <c r="K35" s="265">
        <f t="shared" si="2"/>
        <v>0</v>
      </c>
      <c r="L35" s="265">
        <f t="shared" si="2"/>
        <v>0</v>
      </c>
      <c r="M35" s="265">
        <f t="shared" si="2"/>
        <v>0</v>
      </c>
      <c r="N35" s="265">
        <f t="shared" si="2"/>
        <v>0</v>
      </c>
      <c r="O35" s="265">
        <f>SUBTOTAL(109,O36:O40)</f>
        <v>0</v>
      </c>
      <c r="P35" s="265">
        <f>SUBTOTAL(109,P36:P40)</f>
        <v>435600000</v>
      </c>
      <c r="Q35" s="290">
        <f>Tabla4[[#This Row],[TOTAL]]/Tabla4[[#This Row],[ESTIMADO]]</f>
        <v>0</v>
      </c>
      <c r="R35" s="368">
        <f>SUBTOTAL(109,R36:R40)</f>
        <v>372307.69230769231</v>
      </c>
      <c r="S35" s="7"/>
    </row>
    <row r="36" spans="1:19" x14ac:dyDescent="0.25">
      <c r="A36" s="7"/>
      <c r="B36" s="249" t="s">
        <v>222</v>
      </c>
      <c r="C36" s="119">
        <f>SUMIFS(Tabla3[[#All],[EGRESOS]],Tabla3[[#All],[PERIODO]],Tabla4[[#Headers],[ENERO]],Tabla3[[#All],[ACTIVIDAD]],ACTIVIDADES!B35,Tabla3[[#All],[CONCEPTO]],Tabla4[[#This Row],[ACTIVIDADES]])</f>
        <v>0</v>
      </c>
      <c r="D36" s="119">
        <f>SUMIFS(Tabla3[EGRESOS],Tabla3[ACTIVIDAD],ACTIVIDADES!$B$35,Tabla3[CONCEPTO],ACTIVIDADES!B36,Tabla3[PERIODO],Tabla4[[#Headers],[FEBRERO]])</f>
        <v>0</v>
      </c>
      <c r="E36" s="119">
        <f>SUMIFS(Tabla3[[#All],[EGRESOS]],Tabla3[[#All],[PERIODO]],Tabla4[[#Headers],[MARZO]],Tabla3[[#All],[ACTIVIDAD]],ACTIVIDADES!B35,Tabla3[[#All],[CONCEPTO]],Tabla4[[#This Row],[ACTIVIDADES]])</f>
        <v>0</v>
      </c>
      <c r="F36" s="119">
        <f>SUMIFS(Tabla3[[#All],[EGRESOS]],Tabla3[[#All],[PERIODO]],Tabla4[[#Headers],[ABRIL]],Tabla3[[#All],[ACTIVIDAD]],ACTIVIDADES!B35,Tabla3[[#All],[CONCEPTO]],Tabla4[[#This Row],[ACTIVIDADES]])</f>
        <v>0</v>
      </c>
      <c r="G36" s="119">
        <f>SUMIFS(Tabla3[[#All],[EGRESOS]],Tabla3[[#All],[PERIODO]],Tabla4[[#Headers],[MAYO]],Tabla3[[#All],[ACTIVIDAD]],ACTIVIDADES!B35,Tabla3[[#All],[CONCEPTO]],Tabla4[[#This Row],[ACTIVIDADES]])</f>
        <v>0</v>
      </c>
      <c r="H36" s="119">
        <f>SUMIFS(Tabla3[[#All],[EGRESOS]],Tabla3[[#All],[PERIODO]],Tabla4[[#Headers],[JUNIO]],Tabla3[[#All],[ACTIVIDAD]],ACTIVIDADES!B35,Tabla3[[#All],[CONCEPTO]],Tabla4[[#This Row],[ACTIVIDADES]])</f>
        <v>0</v>
      </c>
      <c r="I36" s="119">
        <f>SUMIFS(Tabla3[[#All],[INGRESOS]],Tabla3[[#All],[FECHA]],Tabla4[[#Headers],[JULIO]],Tabla3[[#All],[RUBRO]],ACTIVIDADES!B35,Tabla3[[#All],[DETALLES]],Tabla4[[#This Row],[ACTIVIDADES]])</f>
        <v>0</v>
      </c>
      <c r="J36" s="119"/>
      <c r="K36" s="119"/>
      <c r="L36" s="119"/>
      <c r="M36" s="119"/>
      <c r="N36" s="119"/>
      <c r="O36" s="239">
        <f>SUM(Tabla4[[#This Row],[ENERO]:[DICIEMBRE]])</f>
        <v>0</v>
      </c>
      <c r="P36" s="119">
        <v>5000000</v>
      </c>
      <c r="Q36" s="246">
        <f>Tabla4[[#This Row],[TOTAL]]/Tabla4[[#This Row],[ESTIMADO]]</f>
        <v>0</v>
      </c>
      <c r="R36" s="99">
        <f>Tabla4[[#This Row],[ESTIMADO]]/1170</f>
        <v>4273.5042735042734</v>
      </c>
      <c r="S36" s="7"/>
    </row>
    <row r="37" spans="1:19" x14ac:dyDescent="0.25">
      <c r="A37" s="7"/>
      <c r="B37" s="249" t="s">
        <v>221</v>
      </c>
      <c r="C37" s="119">
        <f>SUMIFS(Tabla3[[#All],[EGRESOS]],Tabla3[[#All],[PERIODO]],Tabla4[[#Headers],[ENERO]],Tabla3[[#All],[ACTIVIDAD]],ACTIVIDADES!B35,Tabla3[[#All],[CONCEPTO]],Tabla4[[#This Row],[ACTIVIDADES]])</f>
        <v>0</v>
      </c>
      <c r="D37" s="119">
        <f>SUMIFS(Tabla3[EGRESOS],Tabla3[ACTIVIDAD],ACTIVIDADES!$B$35,Tabla3[CONCEPTO],ACTIVIDADES!B37,Tabla3[PERIODO],Tabla4[[#Headers],[FEBRERO]])</f>
        <v>0</v>
      </c>
      <c r="E37" s="119">
        <f>SUMIFS(Tabla3[[#All],[EGRESOS]],Tabla3[[#All],[PERIODO]],Tabla4[[#Headers],[MARZO]],Tabla3[[#All],[ACTIVIDAD]],ACTIVIDADES!B35,Tabla3[[#All],[CONCEPTO]],Tabla4[[#This Row],[ACTIVIDADES]])</f>
        <v>0</v>
      </c>
      <c r="F37" s="119">
        <f>SUMIFS(Tabla3[[#All],[EGRESOS]],Tabla3[[#All],[PERIODO]],Tabla4[[#Headers],[ABRIL]],Tabla3[[#All],[ACTIVIDAD]],ACTIVIDADES!B35,Tabla3[[#All],[CONCEPTO]],Tabla4[[#This Row],[ACTIVIDADES]])</f>
        <v>0</v>
      </c>
      <c r="G37" s="119">
        <f>SUMIFS(Tabla3[[#All],[EGRESOS]],Tabla3[[#All],[PERIODO]],Tabla4[[#Headers],[MAYO]],Tabla3[[#All],[ACTIVIDAD]],ACTIVIDADES!B35,Tabla3[[#All],[CONCEPTO]],Tabla4[[#This Row],[ACTIVIDADES]])</f>
        <v>0</v>
      </c>
      <c r="H37" s="119">
        <f>SUMIFS(Tabla3[[#All],[EGRESOS]],Tabla3[[#All],[PERIODO]],Tabla4[[#Headers],[JUNIO]],Tabla3[[#All],[ACTIVIDAD]],ACTIVIDADES!B35,Tabla3[[#All],[CONCEPTO]],Tabla4[[#This Row],[ACTIVIDADES]])</f>
        <v>0</v>
      </c>
      <c r="I37" s="119">
        <f>SUMIFS(Tabla3[[#All],[INGRESOS]],Tabla3[[#All],[FECHA]],Tabla4[[#Headers],[JULIO]],Tabla3[[#All],[RUBRO]],ACTIVIDADES!B35,Tabla3[[#All],[DETALLES]],Tabla4[[#This Row],[ACTIVIDADES]])</f>
        <v>0</v>
      </c>
      <c r="J37" s="119"/>
      <c r="K37" s="119"/>
      <c r="L37" s="119"/>
      <c r="M37" s="119"/>
      <c r="N37" s="119"/>
      <c r="O37" s="239">
        <f>SUM(Tabla4[[#This Row],[ENERO]:[DICIEMBRE]])</f>
        <v>0</v>
      </c>
      <c r="P37" s="119">
        <v>100000</v>
      </c>
      <c r="Q37" s="246">
        <f>Tabla4[[#This Row],[TOTAL]]/Tabla4[[#This Row],[ESTIMADO]]</f>
        <v>0</v>
      </c>
      <c r="R37" s="99">
        <f>Tabla4[[#This Row],[ESTIMADO]]/1170</f>
        <v>85.470085470085465</v>
      </c>
      <c r="S37" s="7"/>
    </row>
    <row r="38" spans="1:19" x14ac:dyDescent="0.25">
      <c r="A38" s="7"/>
      <c r="B38" s="249" t="s">
        <v>199</v>
      </c>
      <c r="C38" s="119">
        <f>SUMIFS(Tabla3[[#All],[EGRESOS]],Tabla3[[#All],[PERIODO]],Tabla4[[#Headers],[ENERO]],Tabla3[[#All],[ACTIVIDAD]],ACTIVIDADES!B35,Tabla3[[#All],[CONCEPTO]],Tabla4[[#This Row],[ACTIVIDADES]])</f>
        <v>0</v>
      </c>
      <c r="D38" s="119">
        <f>SUMIFS(Tabla3[[#All],[EGRESOS]],Tabla3[[#All],[PERIODO]],Tabla4[[#Headers],[FEBRERO]],Tabla3[[#All],[ACTIVIDAD]],ACTIVIDADES!B35,Tabla3[[#All],[CONCEPTO]],Tabla4[[#This Row],[ACTIVIDADES]])</f>
        <v>0</v>
      </c>
      <c r="E38" s="119">
        <f>SUMIFS(Tabla3[[#All],[EGRESOS]],Tabla3[[#All],[PERIODO]],Tabla4[[#Headers],[MARZO]],Tabla3[[#All],[ACTIVIDAD]],ACTIVIDADES!B35,Tabla3[[#All],[CONCEPTO]],Tabla4[[#This Row],[ACTIVIDADES]])</f>
        <v>0</v>
      </c>
      <c r="F38" s="119">
        <f>SUMIFS(Tabla3[[#All],[EGRESOS]],Tabla3[[#All],[PERIODO]],Tabla4[[#Headers],[ABRIL]],Tabla3[[#All],[ACTIVIDAD]],ACTIVIDADES!B35,Tabla3[[#All],[CONCEPTO]],Tabla4[[#This Row],[ACTIVIDADES]])</f>
        <v>0</v>
      </c>
      <c r="G38" s="119">
        <f>SUMIFS(Tabla3[[#All],[EGRESOS]],Tabla3[[#All],[PERIODO]],Tabla4[[#Headers],[MAYO]],Tabla3[[#All],[ACTIVIDAD]],ACTIVIDADES!B35,Tabla3[[#All],[CONCEPTO]],Tabla4[[#This Row],[ACTIVIDADES]])</f>
        <v>0</v>
      </c>
      <c r="H38" s="119">
        <f>SUMIFS(Tabla3[[#All],[EGRESOS]],Tabla3[[#All],[PERIODO]],Tabla4[[#Headers],[JUNIO]],Tabla3[[#All],[ACTIVIDAD]],ACTIVIDADES!B35,Tabla3[[#All],[CONCEPTO]],Tabla4[[#This Row],[ACTIVIDADES]])</f>
        <v>0</v>
      </c>
      <c r="I38" s="119">
        <f>SUMIFS(Tabla3[[#All],[INGRESOS]],Tabla3[[#All],[FECHA]],Tabla4[[#Headers],[JULIO]],Tabla3[[#All],[RUBRO]],ACTIVIDADES!B35,Tabla3[[#All],[DETALLES]],Tabla4[[#This Row],[ACTIVIDADES]])</f>
        <v>0</v>
      </c>
      <c r="J38" s="7"/>
      <c r="K38" s="7"/>
      <c r="L38" s="7"/>
      <c r="M38" s="7"/>
      <c r="N38" s="7"/>
      <c r="O38" s="239">
        <f>SUM(Tabla4[[#This Row],[ENERO]:[DICIEMBRE]])</f>
        <v>0</v>
      </c>
      <c r="P38" s="119">
        <v>5500000</v>
      </c>
      <c r="Q38" s="246">
        <f>Tabla4[[#This Row],[TOTAL]]/Tabla4[[#This Row],[ESTIMADO]]</f>
        <v>0</v>
      </c>
      <c r="R38" s="99">
        <f>Tabla4[[#This Row],[ESTIMADO]]/1170</f>
        <v>4700.8547008547012</v>
      </c>
      <c r="S38" s="7"/>
    </row>
    <row r="39" spans="1:19" x14ac:dyDescent="0.25">
      <c r="A39" s="7"/>
      <c r="B39" s="249" t="s">
        <v>231</v>
      </c>
      <c r="C39" s="119">
        <f>SUMIFS(Tabla3[[#All],[EGRESOS]],Tabla3[[#All],[PERIODO]],Tabla4[[#Headers],[ENERO]],Tabla3[[#All],[ACTIVIDAD]],ACTIVIDADES!B35,Tabla3[[#All],[CONCEPTO]],Tabla4[[#This Row],[ACTIVIDADES]])</f>
        <v>0</v>
      </c>
      <c r="D39" s="119">
        <f>SUMIFS(Tabla3[[#All],[EGRESOS]],Tabla3[[#All],[PERIODO]],Tabla4[[#Headers],[FEBRERO]],Tabla3[[#All],[ACTIVIDAD]],ACTIVIDADES!B35,Tabla3[[#All],[CONCEPTO]],Tabla4[[#This Row],[ACTIVIDADES]])</f>
        <v>0</v>
      </c>
      <c r="E39" s="119">
        <f>SUMIFS(Tabla3[[#All],[EGRESOS]],Tabla3[[#All],[PERIODO]],Tabla4[[#Headers],[MARZO]],Tabla3[[#All],[ACTIVIDAD]],ACTIVIDADES!B35,Tabla3[[#All],[CONCEPTO]],Tabla4[[#This Row],[ACTIVIDADES]])</f>
        <v>0</v>
      </c>
      <c r="F39" s="119">
        <f>SUMIFS(Tabla3[[#All],[EGRESOS]],Tabla3[[#All],[PERIODO]],Tabla4[[#Headers],[ABRIL]],Tabla3[[#All],[ACTIVIDAD]],ACTIVIDADES!B35,Tabla3[[#All],[CONCEPTO]],Tabla4[[#This Row],[ACTIVIDADES]])</f>
        <v>0</v>
      </c>
      <c r="G39" s="119">
        <f>SUMIFS(Tabla3[[#All],[EGRESOS]],Tabla3[[#All],[PERIODO]],Tabla4[[#Headers],[MAYO]],Tabla3[[#All],[ACTIVIDAD]],ACTIVIDADES!B35,Tabla3[[#All],[CONCEPTO]],Tabla4[[#This Row],[ACTIVIDADES]])</f>
        <v>0</v>
      </c>
      <c r="H39" s="119">
        <f>SUMIFS(Tabla3[[#All],[EGRESOS]],Tabla3[[#All],[PERIODO]],Tabla4[[#Headers],[JUNIO]],Tabla3[[#All],[ACTIVIDAD]],ACTIVIDADES!B35,Tabla3[[#All],[CONCEPTO]],Tabla4[[#This Row],[ACTIVIDADES]])</f>
        <v>0</v>
      </c>
      <c r="I39" s="119">
        <f>SUMIFS(Tabla3[[#All],[INGRESOS]],Tabla3[[#All],[FECHA]],Tabla4[[#Headers],[JULIO]],Tabla3[[#All],[RUBRO]],ACTIVIDADES!B35,Tabla3[[#All],[DETALLES]],Tabla4[[#This Row],[ACTIVIDADES]])</f>
        <v>0</v>
      </c>
      <c r="J39" s="7"/>
      <c r="K39" s="7"/>
      <c r="L39" s="7"/>
      <c r="M39" s="7"/>
      <c r="N39" s="7"/>
      <c r="O39" s="239">
        <f>SUM(Tabla4[[#This Row],[ENERO]:[DICIEMBRE]])</f>
        <v>0</v>
      </c>
      <c r="P39" s="119">
        <v>25000000</v>
      </c>
      <c r="Q39" s="246">
        <f>Tabla4[[#This Row],[TOTAL]]/Tabla4[[#This Row],[ESTIMADO]]</f>
        <v>0</v>
      </c>
      <c r="R39" s="99">
        <f>Tabla4[[#This Row],[ESTIMADO]]/1170</f>
        <v>21367.521367521367</v>
      </c>
      <c r="S39" s="7"/>
    </row>
    <row r="40" spans="1:19" x14ac:dyDescent="0.25">
      <c r="A40" s="7"/>
      <c r="B40" s="249" t="s">
        <v>928</v>
      </c>
      <c r="C40" s="119">
        <f>SUMIFS(Tabla3[[#All],[EGRESOS]],Tabla3[[#All],[PERIODO]],Tabla4[[#Headers],[ENERO]],Tabla3[[#All],[ACTIVIDAD]],ACTIVIDADES!B35,Tabla3[[#All],[CONCEPTO]],Tabla4[[#This Row],[ACTIVIDADES]])</f>
        <v>0</v>
      </c>
      <c r="D40" s="119">
        <f>SUMIFS(Tabla3[[#All],[EGRESOS]],Tabla3[[#All],[PERIODO]],Tabla4[[#Headers],[FEBRERO]],Tabla3[[#All],[ACTIVIDAD]],ACTIVIDADES!B35,Tabla3[[#All],[CONCEPTO]],Tabla4[[#This Row],[ACTIVIDADES]])</f>
        <v>0</v>
      </c>
      <c r="E40" s="119">
        <f>SUMIFS(Tabla3[[#All],[EGRESOS]],Tabla3[[#All],[PERIODO]],Tabla4[[#Headers],[MARZO]],Tabla3[[#All],[ACTIVIDAD]],ACTIVIDADES!B35,Tabla3[[#All],[CONCEPTO]],Tabla4[[#This Row],[ACTIVIDADES]])</f>
        <v>0</v>
      </c>
      <c r="F40" s="119">
        <f>SUMIFS(Tabla3[[#All],[EGRESOS]],Tabla3[[#All],[PERIODO]],Tabla4[[#Headers],[ABRIL]],Tabla3[[#All],[ACTIVIDAD]],ACTIVIDADES!B35,Tabla3[[#All],[CONCEPTO]],Tabla4[[#This Row],[ACTIVIDADES]])</f>
        <v>0</v>
      </c>
      <c r="G40" s="119">
        <f>SUMIFS(Tabla3[EGRESOS],Tabla3[PERIODO],Tabla4[[#Headers],[MAYO]],Tabla3[ACTIVIDAD],ACTIVIDADES!B35,Tabla3[RUBRO],Tabla4[[#This Row],[ACTIVIDADES]])</f>
        <v>0</v>
      </c>
      <c r="H40" s="119">
        <f>SUMIFS(Tabla3[EGRESOS],Tabla3[PERIODO],Tabla4[[#Headers],[JUNIO]],Tabla3[ACTIVIDAD],ACTIVIDADES!B35,Tabla3[RUBRO],Tabla4[[#This Row],[ACTIVIDADES]])</f>
        <v>0</v>
      </c>
      <c r="I40" s="119">
        <f>SUMIFS(Tabla3[EGRESOS],Tabla3[PERIODO],Tabla4[[#Headers],[JULIO]],Tabla3[ACTIVIDAD],ACTIVIDADES!B35,Tabla3[RUBRO],Tabla4[[#This Row],[ACTIVIDADES]])</f>
        <v>0</v>
      </c>
      <c r="J40" s="7"/>
      <c r="K40" s="7"/>
      <c r="L40" s="7"/>
      <c r="M40" s="7"/>
      <c r="N40" s="7"/>
      <c r="O40" s="239">
        <f>SUM(Tabla4[[#This Row],[ENERO]:[DICIEMBRE]])</f>
        <v>0</v>
      </c>
      <c r="P40" s="119">
        <v>400000000</v>
      </c>
      <c r="Q40" s="246">
        <f>Tabla4[[#This Row],[TOTAL]]/Tabla4[[#This Row],[ESTIMADO]]</f>
        <v>0</v>
      </c>
      <c r="R40" s="99">
        <f>Tabla4[[#This Row],[ESTIMADO]]/1170</f>
        <v>341880.34188034188</v>
      </c>
      <c r="S40" s="7"/>
    </row>
    <row r="41" spans="1:19" x14ac:dyDescent="0.25">
      <c r="A41" s="7"/>
      <c r="B41" s="236" t="s">
        <v>150</v>
      </c>
      <c r="C41" s="237">
        <f>C16+C35</f>
        <v>10824992</v>
      </c>
      <c r="D41" s="237">
        <f t="shared" ref="D41:N41" si="3">D16+D35</f>
        <v>1766963.27</v>
      </c>
      <c r="E41" s="237">
        <f t="shared" si="3"/>
        <v>4756184.78</v>
      </c>
      <c r="F41" s="237">
        <f t="shared" si="3"/>
        <v>11510526</v>
      </c>
      <c r="G41" s="237">
        <f t="shared" si="3"/>
        <v>17255180.75</v>
      </c>
      <c r="H41" s="237">
        <f t="shared" si="3"/>
        <v>5946510.5</v>
      </c>
      <c r="I41" s="237">
        <f>I16+I35</f>
        <v>58274249.840000004</v>
      </c>
      <c r="J41" s="237">
        <f t="shared" si="3"/>
        <v>0</v>
      </c>
      <c r="K41" s="237">
        <f t="shared" si="3"/>
        <v>0</v>
      </c>
      <c r="L41" s="237">
        <f t="shared" si="3"/>
        <v>0</v>
      </c>
      <c r="M41" s="237">
        <f t="shared" si="3"/>
        <v>0</v>
      </c>
      <c r="N41" s="237">
        <f t="shared" si="3"/>
        <v>0</v>
      </c>
      <c r="O41" s="236"/>
      <c r="P41" s="236"/>
      <c r="Q41" s="236"/>
      <c r="R41" s="236"/>
      <c r="S41" s="236"/>
    </row>
    <row r="42" spans="1:19" x14ac:dyDescent="0.25">
      <c r="A42" s="7"/>
      <c r="B42" s="230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1:19" x14ac:dyDescent="0.25">
      <c r="A43" s="7"/>
      <c r="B43" s="254" t="s">
        <v>724</v>
      </c>
      <c r="C43" s="242" t="s">
        <v>183</v>
      </c>
      <c r="D43" s="242" t="s">
        <v>225</v>
      </c>
      <c r="E43" s="242" t="s">
        <v>235</v>
      </c>
      <c r="F43" s="242" t="s">
        <v>242</v>
      </c>
      <c r="G43" s="242" t="s">
        <v>247</v>
      </c>
      <c r="H43" s="242" t="s">
        <v>725</v>
      </c>
      <c r="I43" s="242" t="s">
        <v>726</v>
      </c>
      <c r="J43" s="242" t="s">
        <v>727</v>
      </c>
      <c r="K43" s="242" t="s">
        <v>728</v>
      </c>
      <c r="L43" s="242" t="s">
        <v>729</v>
      </c>
      <c r="M43" s="242" t="s">
        <v>730</v>
      </c>
      <c r="N43" s="242" t="s">
        <v>731</v>
      </c>
      <c r="O43" s="244" t="s">
        <v>150</v>
      </c>
      <c r="P43" s="7"/>
      <c r="Q43" s="7"/>
      <c r="R43" s="7"/>
      <c r="S43" s="7"/>
    </row>
    <row r="44" spans="1:19" x14ac:dyDescent="0.25">
      <c r="A44" s="7"/>
      <c r="B44" s="251" t="s">
        <v>201</v>
      </c>
      <c r="C44" s="241" t="s">
        <v>737</v>
      </c>
      <c r="D44" s="241" t="s">
        <v>737</v>
      </c>
      <c r="E44" s="241" t="s">
        <v>737</v>
      </c>
      <c r="F44" s="241" t="s">
        <v>737</v>
      </c>
      <c r="G44" s="241" t="s">
        <v>737</v>
      </c>
      <c r="H44" s="241" t="s">
        <v>737</v>
      </c>
      <c r="I44" s="241" t="s">
        <v>737</v>
      </c>
      <c r="J44" s="241" t="s">
        <v>737</v>
      </c>
      <c r="K44" s="241" t="s">
        <v>737</v>
      </c>
      <c r="L44" s="241" t="s">
        <v>737</v>
      </c>
      <c r="M44" s="241" t="s">
        <v>737</v>
      </c>
      <c r="N44" s="241" t="s">
        <v>737</v>
      </c>
      <c r="O44" s="240"/>
      <c r="P44" s="7"/>
      <c r="Q44" s="7"/>
      <c r="R44" s="7"/>
      <c r="S44" s="7"/>
    </row>
    <row r="45" spans="1:19" x14ac:dyDescent="0.25">
      <c r="A45" s="7"/>
      <c r="B45" s="249" t="s">
        <v>199</v>
      </c>
      <c r="C45" s="243">
        <f>C17/$P$17</f>
        <v>5.7304000000000001E-2</v>
      </c>
      <c r="D45" s="243">
        <f t="shared" ref="D45:M45" si="4">D17/$P$17</f>
        <v>5.8687142857142854E-2</v>
      </c>
      <c r="E45" s="243">
        <f t="shared" si="4"/>
        <v>0</v>
      </c>
      <c r="F45" s="243">
        <f t="shared" si="4"/>
        <v>5.9517142857142859E-2</v>
      </c>
      <c r="G45" s="243">
        <f t="shared" si="4"/>
        <v>0.13222257142857144</v>
      </c>
      <c r="H45" s="243">
        <f t="shared" si="4"/>
        <v>0</v>
      </c>
      <c r="I45" s="243">
        <f t="shared" si="4"/>
        <v>0.13346457142857143</v>
      </c>
      <c r="J45" s="243">
        <f t="shared" si="4"/>
        <v>0</v>
      </c>
      <c r="K45" s="243">
        <f t="shared" si="4"/>
        <v>0</v>
      </c>
      <c r="L45" s="243">
        <f t="shared" si="4"/>
        <v>0</v>
      </c>
      <c r="M45" s="243">
        <f t="shared" si="4"/>
        <v>0</v>
      </c>
      <c r="N45" s="243">
        <f>N17/$P$17</f>
        <v>0</v>
      </c>
      <c r="O45" s="244">
        <f>SUM(C45:N45)</f>
        <v>0.44119542857142857</v>
      </c>
      <c r="P45" s="7"/>
      <c r="Q45" s="7"/>
      <c r="R45" s="126"/>
      <c r="S45" s="7"/>
    </row>
    <row r="46" spans="1:19" x14ac:dyDescent="0.25">
      <c r="A46" s="7"/>
      <c r="B46" s="249" t="s">
        <v>202</v>
      </c>
      <c r="C46" s="243">
        <f>C19/$P$19</f>
        <v>0.33114092213885488</v>
      </c>
      <c r="D46" s="243">
        <f t="shared" ref="D46:M46" si="5">D19/$P$19</f>
        <v>0</v>
      </c>
      <c r="E46" s="243">
        <f t="shared" si="5"/>
        <v>0.14130920064830946</v>
      </c>
      <c r="F46" s="243">
        <f t="shared" si="5"/>
        <v>6.7851106087173499E-2</v>
      </c>
      <c r="G46" s="243">
        <f t="shared" si="5"/>
        <v>0.16557046106942744</v>
      </c>
      <c r="H46" s="243">
        <f t="shared" si="5"/>
        <v>0</v>
      </c>
      <c r="I46" s="243">
        <f t="shared" si="5"/>
        <v>0</v>
      </c>
      <c r="J46" s="243">
        <f t="shared" si="5"/>
        <v>0</v>
      </c>
      <c r="K46" s="243">
        <f t="shared" si="5"/>
        <v>0</v>
      </c>
      <c r="L46" s="243">
        <f t="shared" si="5"/>
        <v>0</v>
      </c>
      <c r="M46" s="243">
        <f t="shared" si="5"/>
        <v>0</v>
      </c>
      <c r="N46" s="243">
        <f>N19/$P$19</f>
        <v>0</v>
      </c>
      <c r="O46" s="244">
        <f t="shared" ref="O46:O52" si="6">SUM(C46:N46)</f>
        <v>0.70587168994376526</v>
      </c>
      <c r="P46" s="7"/>
      <c r="Q46" s="7"/>
      <c r="R46" s="7"/>
      <c r="S46" s="7"/>
    </row>
    <row r="47" spans="1:19" x14ac:dyDescent="0.25">
      <c r="A47" s="7"/>
      <c r="B47" s="252" t="s">
        <v>738</v>
      </c>
      <c r="C47" s="243">
        <f>C20/$P$20</f>
        <v>0</v>
      </c>
      <c r="D47" s="243">
        <f t="shared" ref="D47:N47" si="7">D20/$P$20</f>
        <v>0</v>
      </c>
      <c r="E47" s="243">
        <f t="shared" si="7"/>
        <v>0</v>
      </c>
      <c r="F47" s="243">
        <f t="shared" si="7"/>
        <v>0</v>
      </c>
      <c r="G47" s="243">
        <f t="shared" si="7"/>
        <v>0</v>
      </c>
      <c r="H47" s="243">
        <f t="shared" si="7"/>
        <v>0</v>
      </c>
      <c r="I47" s="243">
        <f t="shared" si="7"/>
        <v>0</v>
      </c>
      <c r="J47" s="243">
        <f t="shared" si="7"/>
        <v>0</v>
      </c>
      <c r="K47" s="243">
        <f t="shared" si="7"/>
        <v>0</v>
      </c>
      <c r="L47" s="243">
        <f t="shared" si="7"/>
        <v>0</v>
      </c>
      <c r="M47" s="243">
        <f t="shared" si="7"/>
        <v>0</v>
      </c>
      <c r="N47" s="243">
        <f t="shared" si="7"/>
        <v>0</v>
      </c>
      <c r="O47" s="244">
        <f t="shared" si="6"/>
        <v>0</v>
      </c>
      <c r="P47" s="7"/>
      <c r="Q47" s="7"/>
      <c r="R47" s="7"/>
      <c r="S47" s="7"/>
    </row>
    <row r="48" spans="1:19" x14ac:dyDescent="0.25">
      <c r="A48" s="7"/>
      <c r="B48" s="252" t="s">
        <v>203</v>
      </c>
      <c r="C48" s="243">
        <f>C21/$P$21</f>
        <v>0.16732077302634371</v>
      </c>
      <c r="D48" s="243">
        <f t="shared" ref="D48:N48" si="8">D21/$P$21</f>
        <v>7.5709108169791123E-2</v>
      </c>
      <c r="E48" s="243">
        <f t="shared" si="8"/>
        <v>0.12258234880188136</v>
      </c>
      <c r="F48" s="243">
        <f t="shared" si="8"/>
        <v>7.5700551662745877E-2</v>
      </c>
      <c r="G48" s="243">
        <f t="shared" si="8"/>
        <v>0.15796755396198825</v>
      </c>
      <c r="H48" s="243">
        <f t="shared" si="8"/>
        <v>0</v>
      </c>
      <c r="I48" s="243">
        <f t="shared" si="8"/>
        <v>8.2267002299242359E-2</v>
      </c>
      <c r="J48" s="243">
        <f t="shared" si="8"/>
        <v>0</v>
      </c>
      <c r="K48" s="243">
        <f t="shared" si="8"/>
        <v>0</v>
      </c>
      <c r="L48" s="243">
        <f t="shared" si="8"/>
        <v>0</v>
      </c>
      <c r="M48" s="243">
        <f t="shared" si="8"/>
        <v>0</v>
      </c>
      <c r="N48" s="243">
        <f t="shared" si="8"/>
        <v>0</v>
      </c>
      <c r="O48" s="244">
        <f t="shared" si="6"/>
        <v>0.68154733792199262</v>
      </c>
      <c r="P48" s="7"/>
      <c r="Q48" s="7"/>
      <c r="R48" s="7"/>
      <c r="S48" s="7"/>
    </row>
    <row r="49" spans="1:19" x14ac:dyDescent="0.25">
      <c r="A49" s="7"/>
      <c r="B49" s="252" t="s">
        <v>739</v>
      </c>
      <c r="C49" s="243"/>
      <c r="D49" s="243"/>
      <c r="E49" s="243"/>
      <c r="F49" s="243"/>
      <c r="G49" s="243"/>
      <c r="H49" s="243"/>
      <c r="I49" s="243"/>
      <c r="J49" s="243"/>
      <c r="K49" s="243"/>
      <c r="L49" s="243"/>
      <c r="M49" s="243"/>
      <c r="N49" s="243"/>
      <c r="O49" s="244">
        <f t="shared" si="6"/>
        <v>0</v>
      </c>
      <c r="P49" s="7"/>
      <c r="Q49" s="7"/>
      <c r="R49" s="7"/>
      <c r="S49" s="7"/>
    </row>
    <row r="50" spans="1:19" x14ac:dyDescent="0.25">
      <c r="A50" s="7"/>
      <c r="B50" s="252" t="s">
        <v>33</v>
      </c>
      <c r="C50" s="243">
        <f t="shared" ref="C50:I50" si="9">C22/$P$22</f>
        <v>0</v>
      </c>
      <c r="D50" s="243">
        <f t="shared" si="9"/>
        <v>0</v>
      </c>
      <c r="E50" s="243">
        <f t="shared" si="9"/>
        <v>0</v>
      </c>
      <c r="F50" s="243">
        <f t="shared" si="9"/>
        <v>0</v>
      </c>
      <c r="G50" s="243">
        <f t="shared" si="9"/>
        <v>0</v>
      </c>
      <c r="H50" s="243">
        <f t="shared" si="9"/>
        <v>0</v>
      </c>
      <c r="I50" s="243">
        <f t="shared" si="9"/>
        <v>0.68939809295833387</v>
      </c>
      <c r="J50" s="243">
        <f t="shared" ref="J50:N50" si="10">J22/$P$22</f>
        <v>0</v>
      </c>
      <c r="K50" s="243">
        <f t="shared" si="10"/>
        <v>0</v>
      </c>
      <c r="L50" s="243">
        <f t="shared" si="10"/>
        <v>0</v>
      </c>
      <c r="M50" s="243">
        <f t="shared" si="10"/>
        <v>0</v>
      </c>
      <c r="N50" s="243">
        <f t="shared" si="10"/>
        <v>0</v>
      </c>
      <c r="O50" s="244">
        <f t="shared" si="6"/>
        <v>0.68939809295833387</v>
      </c>
      <c r="P50" s="7"/>
      <c r="Q50" s="7"/>
      <c r="R50" s="7"/>
      <c r="S50" s="7"/>
    </row>
    <row r="51" spans="1:19" x14ac:dyDescent="0.25">
      <c r="A51" s="7"/>
      <c r="B51" s="252" t="s">
        <v>249</v>
      </c>
      <c r="C51" s="243">
        <f>C25/$P$25</f>
        <v>0</v>
      </c>
      <c r="D51" s="243">
        <f t="shared" ref="D51:N51" si="11">D25/$P$25</f>
        <v>0</v>
      </c>
      <c r="E51" s="243">
        <f t="shared" si="11"/>
        <v>0</v>
      </c>
      <c r="F51" s="243">
        <f t="shared" si="11"/>
        <v>0</v>
      </c>
      <c r="G51" s="243">
        <f t="shared" si="11"/>
        <v>1.6079941752018996E-2</v>
      </c>
      <c r="H51" s="243">
        <f t="shared" si="11"/>
        <v>9.0047673811306378E-2</v>
      </c>
      <c r="I51" s="243">
        <f t="shared" si="11"/>
        <v>0.13507151071695955</v>
      </c>
      <c r="J51" s="243">
        <f t="shared" si="11"/>
        <v>0</v>
      </c>
      <c r="K51" s="243">
        <f t="shared" si="11"/>
        <v>0</v>
      </c>
      <c r="L51" s="243">
        <f t="shared" si="11"/>
        <v>0</v>
      </c>
      <c r="M51" s="243">
        <f t="shared" si="11"/>
        <v>0</v>
      </c>
      <c r="N51" s="243">
        <f t="shared" si="11"/>
        <v>0</v>
      </c>
      <c r="O51" s="244">
        <f t="shared" si="6"/>
        <v>0.24119912628028492</v>
      </c>
      <c r="P51" s="7"/>
      <c r="Q51" s="7"/>
      <c r="R51" s="7"/>
      <c r="S51" s="7"/>
    </row>
    <row r="52" spans="1:19" x14ac:dyDescent="0.25">
      <c r="A52" s="7"/>
      <c r="B52" s="252" t="s">
        <v>736</v>
      </c>
      <c r="C52" s="243">
        <f>C23/$P$23</f>
        <v>0</v>
      </c>
      <c r="D52" s="243">
        <f t="shared" ref="D52:N52" si="12">D23/$P$23</f>
        <v>0</v>
      </c>
      <c r="E52" s="243">
        <f t="shared" si="12"/>
        <v>0</v>
      </c>
      <c r="F52" s="243">
        <f t="shared" si="12"/>
        <v>0</v>
      </c>
      <c r="G52" s="243">
        <f t="shared" si="12"/>
        <v>0</v>
      </c>
      <c r="H52" s="243">
        <f t="shared" si="12"/>
        <v>8.3382635586799106E-2</v>
      </c>
      <c r="I52" s="243">
        <f t="shared" si="12"/>
        <v>0.18808719862088899</v>
      </c>
      <c r="J52" s="243">
        <f t="shared" si="12"/>
        <v>0</v>
      </c>
      <c r="K52" s="243">
        <f t="shared" si="12"/>
        <v>0</v>
      </c>
      <c r="L52" s="243">
        <f t="shared" si="12"/>
        <v>0</v>
      </c>
      <c r="M52" s="243">
        <f t="shared" si="12"/>
        <v>0</v>
      </c>
      <c r="N52" s="243">
        <f t="shared" si="12"/>
        <v>0</v>
      </c>
      <c r="O52" s="244">
        <f t="shared" si="6"/>
        <v>0.27146983420768811</v>
      </c>
      <c r="P52" s="7"/>
      <c r="Q52" s="7"/>
      <c r="R52" s="7"/>
      <c r="S52" s="7"/>
    </row>
    <row r="53" spans="1:19" x14ac:dyDescent="0.25">
      <c r="A53" s="7"/>
      <c r="B53" s="253" t="s">
        <v>200</v>
      </c>
      <c r="C53" s="245"/>
      <c r="D53" s="245"/>
      <c r="E53" s="245"/>
      <c r="F53" s="245"/>
      <c r="G53" s="245"/>
      <c r="H53" s="245"/>
      <c r="I53" s="245"/>
      <c r="J53" s="245"/>
      <c r="K53" s="245"/>
      <c r="L53" s="245"/>
      <c r="M53" s="245"/>
      <c r="N53" s="245"/>
      <c r="O53" s="244"/>
      <c r="P53" s="7"/>
      <c r="Q53" s="7"/>
      <c r="R53" s="7"/>
      <c r="S53" s="7"/>
    </row>
    <row r="54" spans="1:19" x14ac:dyDescent="0.25">
      <c r="A54" s="7"/>
      <c r="B54" s="249" t="s">
        <v>202</v>
      </c>
      <c r="C54" s="243">
        <f>C27/$P$27</f>
        <v>0</v>
      </c>
      <c r="D54" s="243">
        <f t="shared" ref="D54:N54" si="13">D27/$P$27</f>
        <v>0</v>
      </c>
      <c r="E54" s="243">
        <f t="shared" si="13"/>
        <v>0</v>
      </c>
      <c r="F54" s="243">
        <f t="shared" si="13"/>
        <v>1</v>
      </c>
      <c r="G54" s="243">
        <f t="shared" si="13"/>
        <v>0</v>
      </c>
      <c r="H54" s="243">
        <f t="shared" si="13"/>
        <v>0</v>
      </c>
      <c r="I54" s="243">
        <f t="shared" si="13"/>
        <v>0</v>
      </c>
      <c r="J54" s="243">
        <f t="shared" si="13"/>
        <v>0</v>
      </c>
      <c r="K54" s="243">
        <f t="shared" si="13"/>
        <v>0</v>
      </c>
      <c r="L54" s="243">
        <f t="shared" si="13"/>
        <v>0</v>
      </c>
      <c r="M54" s="243">
        <f t="shared" si="13"/>
        <v>0</v>
      </c>
      <c r="N54" s="243">
        <f t="shared" si="13"/>
        <v>0</v>
      </c>
      <c r="O54" s="244">
        <f t="shared" ref="O54:O62" si="14">SUM(C54:N54)</f>
        <v>1</v>
      </c>
      <c r="P54" s="7"/>
      <c r="Q54" s="7"/>
      <c r="R54" s="7"/>
      <c r="S54" s="7"/>
    </row>
    <row r="55" spans="1:19" x14ac:dyDescent="0.25">
      <c r="A55" s="7"/>
      <c r="B55" s="252" t="s">
        <v>738</v>
      </c>
      <c r="C55" s="243">
        <f>C29/$P$28</f>
        <v>0</v>
      </c>
      <c r="D55" s="243">
        <f t="shared" ref="D55:N55" si="15">D29/$P$28</f>
        <v>0</v>
      </c>
      <c r="E55" s="243">
        <f t="shared" si="15"/>
        <v>0</v>
      </c>
      <c r="F55" s="243">
        <f t="shared" si="15"/>
        <v>0</v>
      </c>
      <c r="G55" s="243">
        <f t="shared" si="15"/>
        <v>0</v>
      </c>
      <c r="H55" s="243">
        <f t="shared" si="15"/>
        <v>0</v>
      </c>
      <c r="I55" s="243">
        <f t="shared" si="15"/>
        <v>0</v>
      </c>
      <c r="J55" s="243">
        <f t="shared" si="15"/>
        <v>0</v>
      </c>
      <c r="K55" s="243">
        <f t="shared" si="15"/>
        <v>0</v>
      </c>
      <c r="L55" s="243">
        <f t="shared" si="15"/>
        <v>0</v>
      </c>
      <c r="M55" s="243">
        <f t="shared" si="15"/>
        <v>0</v>
      </c>
      <c r="N55" s="243">
        <f t="shared" si="15"/>
        <v>0</v>
      </c>
      <c r="O55" s="244">
        <f t="shared" si="14"/>
        <v>0</v>
      </c>
      <c r="P55" s="7"/>
      <c r="Q55" s="7"/>
      <c r="R55" s="7"/>
      <c r="S55" s="7"/>
    </row>
    <row r="56" spans="1:19" x14ac:dyDescent="0.25">
      <c r="A56" s="7"/>
      <c r="B56" s="252" t="s">
        <v>203</v>
      </c>
      <c r="C56" s="243">
        <f>C29/$P$29</f>
        <v>0</v>
      </c>
      <c r="D56" s="243">
        <f t="shared" ref="D56:N56" si="16">D29/$P$29</f>
        <v>0</v>
      </c>
      <c r="E56" s="243">
        <f t="shared" si="16"/>
        <v>0</v>
      </c>
      <c r="F56" s="243">
        <f t="shared" si="16"/>
        <v>0</v>
      </c>
      <c r="G56" s="243">
        <f t="shared" si="16"/>
        <v>0</v>
      </c>
      <c r="H56" s="243">
        <f t="shared" si="16"/>
        <v>0</v>
      </c>
      <c r="I56" s="243">
        <f t="shared" si="16"/>
        <v>0</v>
      </c>
      <c r="J56" s="243">
        <f t="shared" si="16"/>
        <v>0</v>
      </c>
      <c r="K56" s="243">
        <f t="shared" si="16"/>
        <v>0</v>
      </c>
      <c r="L56" s="243">
        <f t="shared" si="16"/>
        <v>0</v>
      </c>
      <c r="M56" s="243">
        <f t="shared" si="16"/>
        <v>0</v>
      </c>
      <c r="N56" s="243">
        <f t="shared" si="16"/>
        <v>0</v>
      </c>
      <c r="O56" s="244">
        <f t="shared" si="14"/>
        <v>0</v>
      </c>
      <c r="P56" s="7"/>
      <c r="Q56" s="7"/>
      <c r="R56" s="7"/>
      <c r="S56" s="7"/>
    </row>
    <row r="57" spans="1:19" x14ac:dyDescent="0.25">
      <c r="A57" s="7"/>
      <c r="B57" s="252" t="s">
        <v>739</v>
      </c>
      <c r="C57" s="243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244">
        <f t="shared" si="14"/>
        <v>0</v>
      </c>
      <c r="P57" s="7"/>
      <c r="Q57" s="7"/>
      <c r="R57" s="7"/>
      <c r="S57" s="7"/>
    </row>
    <row r="58" spans="1:19" x14ac:dyDescent="0.25">
      <c r="A58" s="7"/>
      <c r="B58" s="252" t="s">
        <v>33</v>
      </c>
      <c r="C58" s="243">
        <f>C31/$P$31</f>
        <v>0</v>
      </c>
      <c r="D58" s="243">
        <f t="shared" ref="D58:N58" si="17">D31/$P$31</f>
        <v>0</v>
      </c>
      <c r="E58" s="243">
        <f t="shared" si="17"/>
        <v>0</v>
      </c>
      <c r="F58" s="243">
        <f t="shared" si="17"/>
        <v>0</v>
      </c>
      <c r="G58" s="243">
        <f t="shared" si="17"/>
        <v>0</v>
      </c>
      <c r="H58" s="243">
        <f t="shared" si="17"/>
        <v>0</v>
      </c>
      <c r="I58" s="243">
        <f t="shared" si="17"/>
        <v>0</v>
      </c>
      <c r="J58" s="243">
        <f t="shared" si="17"/>
        <v>0</v>
      </c>
      <c r="K58" s="243">
        <f t="shared" si="17"/>
        <v>0</v>
      </c>
      <c r="L58" s="243">
        <f t="shared" si="17"/>
        <v>0</v>
      </c>
      <c r="M58" s="243">
        <f t="shared" si="17"/>
        <v>0</v>
      </c>
      <c r="N58" s="243">
        <f t="shared" si="17"/>
        <v>0</v>
      </c>
      <c r="O58" s="244">
        <f t="shared" si="14"/>
        <v>0</v>
      </c>
      <c r="P58" s="7"/>
      <c r="Q58" s="7"/>
      <c r="R58" s="7"/>
      <c r="S58" s="7"/>
    </row>
    <row r="59" spans="1:19" x14ac:dyDescent="0.25">
      <c r="A59" s="7"/>
      <c r="B59" s="252" t="s">
        <v>249</v>
      </c>
      <c r="C59" s="243">
        <f>C33/$P$33</f>
        <v>0</v>
      </c>
      <c r="D59" s="243">
        <f t="shared" ref="D59:N59" si="18">D33/$P$33</f>
        <v>0</v>
      </c>
      <c r="E59" s="243">
        <f t="shared" si="18"/>
        <v>0</v>
      </c>
      <c r="F59" s="243">
        <f t="shared" si="18"/>
        <v>0</v>
      </c>
      <c r="G59" s="243">
        <f t="shared" si="18"/>
        <v>0.72779540794322362</v>
      </c>
      <c r="H59" s="243">
        <f t="shared" si="18"/>
        <v>0</v>
      </c>
      <c r="I59" s="243">
        <f t="shared" si="18"/>
        <v>0</v>
      </c>
      <c r="J59" s="243">
        <f t="shared" si="18"/>
        <v>0</v>
      </c>
      <c r="K59" s="243">
        <f t="shared" si="18"/>
        <v>0</v>
      </c>
      <c r="L59" s="243">
        <f t="shared" si="18"/>
        <v>0</v>
      </c>
      <c r="M59" s="243">
        <f t="shared" si="18"/>
        <v>0</v>
      </c>
      <c r="N59" s="243">
        <f t="shared" si="18"/>
        <v>0</v>
      </c>
      <c r="O59" s="244">
        <f t="shared" si="14"/>
        <v>0.72779540794322362</v>
      </c>
      <c r="P59" s="7"/>
      <c r="Q59" s="7"/>
      <c r="R59" s="7"/>
      <c r="S59" s="7"/>
    </row>
    <row r="60" spans="1:19" x14ac:dyDescent="0.25">
      <c r="A60" s="7"/>
      <c r="B60" s="252" t="s">
        <v>736</v>
      </c>
      <c r="C60" s="243">
        <f>C32/$P$32</f>
        <v>0</v>
      </c>
      <c r="D60" s="243">
        <f t="shared" ref="D60:N60" si="19">D32/$P$32</f>
        <v>0</v>
      </c>
      <c r="E60" s="243">
        <f t="shared" si="19"/>
        <v>0</v>
      </c>
      <c r="F60" s="243">
        <f t="shared" si="19"/>
        <v>0</v>
      </c>
      <c r="G60" s="243">
        <f t="shared" si="19"/>
        <v>0</v>
      </c>
      <c r="H60" s="243">
        <f t="shared" si="19"/>
        <v>0</v>
      </c>
      <c r="I60" s="243">
        <f t="shared" si="19"/>
        <v>0</v>
      </c>
      <c r="J60" s="243">
        <f t="shared" si="19"/>
        <v>0</v>
      </c>
      <c r="K60" s="243">
        <f t="shared" si="19"/>
        <v>0</v>
      </c>
      <c r="L60" s="243">
        <f t="shared" si="19"/>
        <v>0</v>
      </c>
      <c r="M60" s="243">
        <f t="shared" si="19"/>
        <v>0</v>
      </c>
      <c r="N60" s="243">
        <f t="shared" si="19"/>
        <v>0</v>
      </c>
      <c r="O60" s="244">
        <f t="shared" si="14"/>
        <v>0</v>
      </c>
      <c r="P60" s="7"/>
      <c r="Q60" s="7"/>
      <c r="R60" s="7"/>
      <c r="S60" s="7"/>
    </row>
    <row r="61" spans="1:19" x14ac:dyDescent="0.25">
      <c r="A61" s="7"/>
      <c r="B61" s="252" t="s">
        <v>441</v>
      </c>
      <c r="C61" s="243">
        <f>C30/$P$30</f>
        <v>0.65339999999999998</v>
      </c>
      <c r="D61" s="243">
        <f t="shared" ref="D61:N61" si="20">D30/$P$30</f>
        <v>0</v>
      </c>
      <c r="E61" s="243">
        <f t="shared" si="20"/>
        <v>0</v>
      </c>
      <c r="F61" s="243">
        <f t="shared" si="20"/>
        <v>0</v>
      </c>
      <c r="G61" s="243">
        <f t="shared" si="20"/>
        <v>0</v>
      </c>
      <c r="H61" s="243">
        <f t="shared" si="20"/>
        <v>0</v>
      </c>
      <c r="I61" s="243">
        <f t="shared" si="20"/>
        <v>0</v>
      </c>
      <c r="J61" s="243">
        <f t="shared" si="20"/>
        <v>0</v>
      </c>
      <c r="K61" s="243">
        <f t="shared" si="20"/>
        <v>0</v>
      </c>
      <c r="L61" s="243">
        <f t="shared" si="20"/>
        <v>0</v>
      </c>
      <c r="M61" s="243">
        <f t="shared" si="20"/>
        <v>0</v>
      </c>
      <c r="N61" s="243">
        <f t="shared" si="20"/>
        <v>0</v>
      </c>
      <c r="O61" s="244">
        <f t="shared" si="14"/>
        <v>0.65339999999999998</v>
      </c>
      <c r="P61" s="7"/>
      <c r="Q61" s="7"/>
      <c r="R61" s="7"/>
      <c r="S61" s="7"/>
    </row>
    <row r="62" spans="1:19" x14ac:dyDescent="0.25">
      <c r="B62" s="7" t="s">
        <v>1031</v>
      </c>
      <c r="C62" s="243">
        <f t="shared" ref="C62:I62" si="21">C34/$P$34</f>
        <v>0</v>
      </c>
      <c r="D62" s="243">
        <f t="shared" si="21"/>
        <v>0</v>
      </c>
      <c r="E62" s="243">
        <f t="shared" si="21"/>
        <v>0</v>
      </c>
      <c r="F62" s="243">
        <f t="shared" si="21"/>
        <v>0</v>
      </c>
      <c r="G62" s="243">
        <f t="shared" si="21"/>
        <v>0</v>
      </c>
      <c r="H62" s="243">
        <f t="shared" si="21"/>
        <v>0</v>
      </c>
      <c r="I62" s="243">
        <f t="shared" si="21"/>
        <v>0.34185795029239768</v>
      </c>
      <c r="J62" s="243">
        <f>J34/$P$34</f>
        <v>0</v>
      </c>
      <c r="K62" s="7"/>
      <c r="L62" s="7"/>
      <c r="M62" s="7"/>
      <c r="N62" s="7"/>
      <c r="O62" s="244">
        <f t="shared" si="14"/>
        <v>0.34185795029239768</v>
      </c>
      <c r="P62" s="7"/>
      <c r="Q62" s="7"/>
      <c r="R62" s="7"/>
      <c r="S62" s="7"/>
    </row>
    <row r="63" spans="1:19" x14ac:dyDescent="0.25">
      <c r="B63" s="238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spans="1:19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</row>
  </sheetData>
  <phoneticPr fontId="18" type="noConversion"/>
  <conditionalFormatting sqref="C45:N52">
    <cfRule type="colorScale" priority="2">
      <colorScale>
        <cfvo type="min"/>
        <cfvo type="max"/>
        <color rgb="FFFFEF9C"/>
        <color rgb="FF63BE7B"/>
      </colorScale>
    </cfRule>
  </conditionalFormatting>
  <conditionalFormatting sqref="C54:N61 C62:J62">
    <cfRule type="colorScale" priority="37">
      <colorScale>
        <cfvo type="min"/>
        <cfvo type="max"/>
        <color rgb="FFFFEF9C"/>
        <color rgb="FF63BE7B"/>
      </colorScale>
    </cfRule>
  </conditionalFormatting>
  <conditionalFormatting sqref="K51:K5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1:L52">
    <cfRule type="colorScale" priority="35">
      <colorScale>
        <cfvo type="min"/>
        <cfvo type="max"/>
        <color rgb="FFFFEF9C"/>
        <color rgb="FF63BE7B"/>
      </colorScale>
    </cfRule>
  </conditionalFormatting>
  <conditionalFormatting sqref="M51:M52">
    <cfRule type="colorScale" priority="36">
      <colorScale>
        <cfvo type="min"/>
        <cfvo type="max"/>
        <color rgb="FFFFEF9C"/>
        <color rgb="FF63BE7B"/>
      </colorScale>
    </cfRule>
  </conditionalFormatting>
  <pageMargins left="0.25" right="0.25" top="0.75" bottom="0.75" header="0.3" footer="0.3"/>
  <pageSetup paperSize="5" orientation="landscape" r:id="rId1"/>
  <ignoredErrors>
    <ignoredError sqref="Q16 Q35 H21" formula="1"/>
  </ignoredErrors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CB823-CAC2-4438-A536-9ABBDD65C90E}">
  <dimension ref="A1:O36"/>
  <sheetViews>
    <sheetView topLeftCell="A13" workbookViewId="0">
      <selection activeCell="H19" sqref="H19"/>
    </sheetView>
  </sheetViews>
  <sheetFormatPr baseColWidth="10" defaultColWidth="11.42578125" defaultRowHeight="15" x14ac:dyDescent="0.25"/>
  <cols>
    <col min="1" max="1" width="1.42578125" customWidth="1"/>
    <col min="2" max="2" width="20.42578125" customWidth="1"/>
    <col min="3" max="3" width="17.28515625" customWidth="1"/>
    <col min="4" max="5" width="16.7109375" bestFit="1" customWidth="1"/>
    <col min="6" max="9" width="15.5703125" bestFit="1" customWidth="1"/>
    <col min="10" max="13" width="14.42578125" customWidth="1"/>
    <col min="14" max="14" width="16.42578125" customWidth="1"/>
    <col min="15" max="15" width="15.5703125" bestFit="1" customWidth="1"/>
  </cols>
  <sheetData>
    <row r="1" spans="1:15" ht="18.75" x14ac:dyDescent="0.3">
      <c r="A1" s="7"/>
      <c r="B1" s="204" t="s">
        <v>723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 x14ac:dyDescent="0.25">
      <c r="A15" s="7"/>
      <c r="B15" s="235" t="s">
        <v>724</v>
      </c>
      <c r="C15" s="235" t="s">
        <v>183</v>
      </c>
      <c r="D15" s="235" t="s">
        <v>225</v>
      </c>
      <c r="E15" s="235" t="s">
        <v>235</v>
      </c>
      <c r="F15" s="235" t="s">
        <v>242</v>
      </c>
      <c r="G15" s="235" t="s">
        <v>247</v>
      </c>
      <c r="H15" s="235" t="s">
        <v>725</v>
      </c>
      <c r="I15" s="235" t="s">
        <v>726</v>
      </c>
      <c r="J15" s="235" t="s">
        <v>727</v>
      </c>
      <c r="K15" s="235" t="s">
        <v>728</v>
      </c>
      <c r="L15" s="235" t="s">
        <v>729</v>
      </c>
      <c r="M15" s="235" t="s">
        <v>730</v>
      </c>
      <c r="N15" s="235" t="s">
        <v>731</v>
      </c>
      <c r="O15" s="235" t="s">
        <v>150</v>
      </c>
    </row>
    <row r="16" spans="1:15" x14ac:dyDescent="0.25">
      <c r="A16" s="7"/>
      <c r="B16" s="236" t="s">
        <v>96</v>
      </c>
      <c r="C16" s="316">
        <f>C17+C21</f>
        <v>0</v>
      </c>
      <c r="D16" s="316">
        <f t="shared" ref="D16:N16" si="0">D17+D21</f>
        <v>0</v>
      </c>
      <c r="E16" s="316">
        <f t="shared" si="0"/>
        <v>6130000</v>
      </c>
      <c r="F16" s="316">
        <f t="shared" si="0"/>
        <v>12171000</v>
      </c>
      <c r="G16" s="316">
        <f t="shared" si="0"/>
        <v>1997021.73</v>
      </c>
      <c r="H16" s="316">
        <f t="shared" si="0"/>
        <v>17473</v>
      </c>
      <c r="I16" s="316">
        <f t="shared" si="0"/>
        <v>0</v>
      </c>
      <c r="J16" s="316">
        <f t="shared" si="0"/>
        <v>0</v>
      </c>
      <c r="K16" s="316">
        <f t="shared" si="0"/>
        <v>0</v>
      </c>
      <c r="L16" s="316">
        <f t="shared" si="0"/>
        <v>0</v>
      </c>
      <c r="M16" s="316">
        <f t="shared" si="0"/>
        <v>0</v>
      </c>
      <c r="N16" s="316">
        <f t="shared" si="0"/>
        <v>0</v>
      </c>
      <c r="O16" s="316">
        <f>SUM(O17:O33)</f>
        <v>89918820.379999995</v>
      </c>
    </row>
    <row r="17" spans="1:15" x14ac:dyDescent="0.25">
      <c r="A17" s="7"/>
      <c r="B17" s="318" t="s">
        <v>194</v>
      </c>
      <c r="C17" s="239">
        <f>SUM(C18:C20)</f>
        <v>0</v>
      </c>
      <c r="D17" s="239">
        <f t="shared" ref="D17:N17" si="1">SUM(D18:D20)</f>
        <v>0</v>
      </c>
      <c r="E17" s="239">
        <f t="shared" si="1"/>
        <v>5780000</v>
      </c>
      <c r="F17" s="239">
        <f t="shared" si="1"/>
        <v>3431000</v>
      </c>
      <c r="G17" s="239">
        <f t="shared" si="1"/>
        <v>717021.73</v>
      </c>
      <c r="H17" s="239">
        <f t="shared" si="1"/>
        <v>17473</v>
      </c>
      <c r="I17" s="239">
        <f t="shared" si="1"/>
        <v>0</v>
      </c>
      <c r="J17" s="239">
        <f t="shared" si="1"/>
        <v>0</v>
      </c>
      <c r="K17" s="239">
        <f t="shared" si="1"/>
        <v>0</v>
      </c>
      <c r="L17" s="239">
        <f t="shared" si="1"/>
        <v>0</v>
      </c>
      <c r="M17" s="239">
        <f t="shared" si="1"/>
        <v>0</v>
      </c>
      <c r="N17" s="239">
        <f t="shared" si="1"/>
        <v>0</v>
      </c>
      <c r="O17" s="239">
        <f>SUM(Tabla45[[#This Row],[ENERO]:[DICIEMBRE]])</f>
        <v>9945494.7300000004</v>
      </c>
    </row>
    <row r="18" spans="1:15" x14ac:dyDescent="0.25">
      <c r="A18" s="7"/>
      <c r="B18" s="317" t="s">
        <v>311</v>
      </c>
      <c r="C18" s="319">
        <f>SUMIFS(Tabla3[INGRESOS],Tabla3[SOCIO],Tabla45[[#This Row],[ACTIVIDADES]],Tabla3[PERIODO],Tabla45[[#Headers],[ENERO]])</f>
        <v>0</v>
      </c>
      <c r="D18" s="319">
        <f>SUMIFS(Tabla3[INGRESOS],Tabla3[SOCIO],Tabla45[[#This Row],[ACTIVIDADES]],Tabla3[PERIODO],Tabla45[[#Headers],[FEBRERO]])</f>
        <v>0</v>
      </c>
      <c r="E18" s="319">
        <f>SUMIFS(Tabla3[INGRESOS],Tabla3[SOCIO],Tabla45[[#This Row],[ACTIVIDADES]],Tabla3[PERIODO],Tabla45[[#Headers],[MARZO]])</f>
        <v>5770000</v>
      </c>
      <c r="F18" s="319">
        <f>SUMIFS(Tabla3[INGRESOS],Tabla3[SOCIO],Tabla45[[#This Row],[ACTIVIDADES]],Tabla3[PERIODO],Tabla45[[#Headers],[ABRIL]])</f>
        <v>3431000</v>
      </c>
      <c r="G18" s="319">
        <f>SUMIFS(Tabla3[INGRESOS],Tabla3[SOCIO],Tabla45[[#This Row],[ACTIVIDADES]],Tabla3[PERIODO],Tabla45[[#Headers],[MAYO]])</f>
        <v>700000</v>
      </c>
      <c r="H18" s="319">
        <f>SUMIFS(Tabla3[INGRESOS],Tabla3[SOCIO],Tabla45[[#This Row],[ACTIVIDADES]],Tabla3[PERIODO],Tabla45[[#Headers],[JUNIO]])</f>
        <v>17473</v>
      </c>
      <c r="I18" s="319">
        <f>SUMIFS(Tabla3[INGRESOS],Tabla3[SOCIO],Tabla45[[#This Row],[ACTIVIDADES]],Tabla3[PERIODO],Tabla45[[#Headers],[JULIO]])</f>
        <v>0</v>
      </c>
      <c r="J18" s="319"/>
      <c r="K18" s="319"/>
      <c r="L18" s="319"/>
      <c r="M18" s="319"/>
      <c r="N18" s="319"/>
      <c r="O18" s="319">
        <f>SUM(Tabla45[[#This Row],[ENERO]:[DICIEMBRE]])</f>
        <v>9918473</v>
      </c>
    </row>
    <row r="19" spans="1:15" x14ac:dyDescent="0.25">
      <c r="A19" s="7"/>
      <c r="B19" s="317" t="s">
        <v>332</v>
      </c>
      <c r="C19" s="319">
        <f>SUMIFS(Tabla3[INGRESOS],Tabla3[SOCIO],Tabla45[[#This Row],[ACTIVIDADES]],Tabla3[PERIODO],Tabla45[[#Headers],[ENERO]])</f>
        <v>0</v>
      </c>
      <c r="D19" s="319">
        <f>SUMIFS(Tabla3[INGRESOS],Tabla3[SOCIO],Tabla45[[#This Row],[ACTIVIDADES]],Tabla3[PERIODO],Tabla45[[#Headers],[FEBRERO]])</f>
        <v>0</v>
      </c>
      <c r="E19" s="319">
        <f>SUMIFS(Tabla3[INGRESOS],Tabla3[SOCIO],Tabla45[[#This Row],[ACTIVIDADES]],Tabla3[PERIODO],Tabla45[[#Headers],[MARZO]])</f>
        <v>10000</v>
      </c>
      <c r="F19" s="319">
        <f>SUMIFS(Tabla3[INGRESOS],Tabla3[SOCIO],Tabla45[[#This Row],[ACTIVIDADES]],Tabla3[PERIODO],Tabla45[[#Headers],[ABRIL]])</f>
        <v>0</v>
      </c>
      <c r="G19" s="319">
        <f>SUMIFS(Tabla3[INGRESOS],Tabla3[SOCIO],Tabla45[[#This Row],[ACTIVIDADES]],Tabla3[PERIODO],Tabla45[[#Headers],[MAYO]])</f>
        <v>17021.73</v>
      </c>
      <c r="H19" s="320"/>
      <c r="I19" s="320"/>
      <c r="J19" s="320"/>
      <c r="K19" s="320"/>
      <c r="L19" s="320"/>
      <c r="M19" s="320"/>
      <c r="N19" s="320"/>
      <c r="O19" s="319">
        <f>SUM(Tabla45[[#This Row],[ENERO]:[DICIEMBRE]])</f>
        <v>27021.73</v>
      </c>
    </row>
    <row r="20" spans="1:15" x14ac:dyDescent="0.25">
      <c r="A20" s="7"/>
      <c r="B20" s="317" t="s">
        <v>405</v>
      </c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19">
        <f>SUM(Tabla45[[#This Row],[ENERO]:[DICIEMBRE]])</f>
        <v>0</v>
      </c>
    </row>
    <row r="21" spans="1:15" x14ac:dyDescent="0.25">
      <c r="A21" s="7"/>
      <c r="B21" s="318" t="s">
        <v>237</v>
      </c>
      <c r="C21" s="239">
        <f>SUM(C22:C23)</f>
        <v>0</v>
      </c>
      <c r="D21" s="239">
        <f t="shared" ref="D21:N21" si="2">SUM(D22:D23)</f>
        <v>0</v>
      </c>
      <c r="E21" s="239">
        <f t="shared" si="2"/>
        <v>350000</v>
      </c>
      <c r="F21" s="239">
        <f t="shared" si="2"/>
        <v>8740000</v>
      </c>
      <c r="G21" s="239">
        <f t="shared" si="2"/>
        <v>1280000</v>
      </c>
      <c r="H21" s="239">
        <f t="shared" si="2"/>
        <v>0</v>
      </c>
      <c r="I21" s="239">
        <f t="shared" si="2"/>
        <v>0</v>
      </c>
      <c r="J21" s="239">
        <f t="shared" si="2"/>
        <v>0</v>
      </c>
      <c r="K21" s="239">
        <f t="shared" si="2"/>
        <v>0</v>
      </c>
      <c r="L21" s="239">
        <f t="shared" si="2"/>
        <v>0</v>
      </c>
      <c r="M21" s="239">
        <f t="shared" si="2"/>
        <v>0</v>
      </c>
      <c r="N21" s="239">
        <f t="shared" si="2"/>
        <v>0</v>
      </c>
      <c r="O21" s="319">
        <f>SUM(Tabla45[[#This Row],[ENERO]:[DICIEMBRE]])</f>
        <v>10370000</v>
      </c>
    </row>
    <row r="22" spans="1:15" x14ac:dyDescent="0.25">
      <c r="A22" s="7"/>
      <c r="B22" s="317" t="s">
        <v>365</v>
      </c>
      <c r="C22" s="319">
        <f>SUMIFS(Tabla3[INGRESOS],Tabla3[PROVEEDOR CLIENTE],Tabla45[[#This Row],[ACTIVIDADES]],Tabla3[PERIODO],Tabla45[[#Headers],[ENERO]])</f>
        <v>0</v>
      </c>
      <c r="D22" s="319">
        <f>SUMIFS(Tabla3[INGRESOS],Tabla3[PROVEEDOR CLIENTE],Tabla45[[#This Row],[ACTIVIDADES]],Tabla3[PERIODO],Tabla45[[#Headers],[FEBRERO]])</f>
        <v>0</v>
      </c>
      <c r="E22" s="319">
        <f>SUMIFS(Tabla3[INGRESOS],Tabla3[PROVEEDOR CLIENTE],Tabla45[[#This Row],[ACTIVIDADES]],Tabla3[PERIODO],Tabla45[[#Headers],[MARZO]])</f>
        <v>0</v>
      </c>
      <c r="F22" s="319">
        <f>SUMIFS(Tabla3[INGRESOS],Tabla3[PROVEEDOR CLIENTE],Tabla45[[#This Row],[ACTIVIDADES]],Tabla3[PERIODO],Tabla45[[#Headers],[ABRIL]])</f>
        <v>8190000</v>
      </c>
      <c r="G22" s="319">
        <f>SUMIFS(Tabla3[INGRESOS],Tabla3[PROVEEDOR CLIENTE],Tabla45[[#This Row],[ACTIVIDADES]],Tabla3[PERIODO],Tabla45[[#Headers],[MAYO]])</f>
        <v>0</v>
      </c>
      <c r="H22" s="320"/>
      <c r="I22" s="320"/>
      <c r="J22" s="320"/>
      <c r="K22" s="320"/>
      <c r="L22" s="320"/>
      <c r="M22" s="320"/>
      <c r="N22" s="320"/>
      <c r="O22" s="319">
        <f>SUM(Tabla45[[#This Row],[ENERO]:[DICIEMBRE]])</f>
        <v>8190000</v>
      </c>
    </row>
    <row r="23" spans="1:15" x14ac:dyDescent="0.25">
      <c r="A23" s="7"/>
      <c r="B23" s="317" t="s">
        <v>418</v>
      </c>
      <c r="C23" s="319">
        <f>SUMIFS(Tabla3[INGRESOS],Tabla3[PROVEEDOR CLIENTE],Tabla45[[#This Row],[ACTIVIDADES]],Tabla3[PERIODO],Tabla45[[#Headers],[ENERO]])</f>
        <v>0</v>
      </c>
      <c r="D23" s="319">
        <f>SUMIFS(Tabla3[INGRESOS],Tabla3[PROVEEDOR CLIENTE],Tabla45[[#This Row],[ACTIVIDADES]],Tabla3[PERIODO],Tabla45[[#Headers],[FEBRERO]])</f>
        <v>0</v>
      </c>
      <c r="E23" s="319">
        <f>SUMIFS(Tabla3[INGRESOS],Tabla3[PROVEEDOR CLIENTE],Tabla45[[#This Row],[ACTIVIDADES]],Tabla3[PERIODO],Tabla45[[#Headers],[MARZO]])</f>
        <v>350000</v>
      </c>
      <c r="F23" s="319">
        <f>SUMIFS(Tabla3[INGRESOS],Tabla3[PROVEEDOR CLIENTE],Tabla45[[#This Row],[ACTIVIDADES]],Tabla3[PERIODO],Tabla45[[#Headers],[ABRIL]])</f>
        <v>550000</v>
      </c>
      <c r="G23" s="319">
        <f>SUMIFS(Tabla3[INGRESOS],Tabla3[PROVEEDOR CLIENTE],Tabla45[[#This Row],[ACTIVIDADES]],Tabla3[PERIODO],Tabla45[[#Headers],[MAYO]])</f>
        <v>1280000</v>
      </c>
      <c r="H23" s="320"/>
      <c r="I23" s="320"/>
      <c r="J23" s="320"/>
      <c r="K23" s="320"/>
      <c r="L23" s="320"/>
      <c r="M23" s="320"/>
      <c r="N23" s="320"/>
      <c r="O23" s="319">
        <f>SUM(Tabla45[[#This Row],[ENERO]:[DICIEMBRE]])</f>
        <v>2180000</v>
      </c>
    </row>
    <row r="24" spans="1:15" x14ac:dyDescent="0.25">
      <c r="A24" s="7"/>
      <c r="B24" s="317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0"/>
      <c r="N24" s="320"/>
      <c r="O24" s="319">
        <f>SUM(Tabla45[[#This Row],[ENERO]:[DICIEMBRE]])</f>
        <v>0</v>
      </c>
    </row>
    <row r="25" spans="1:15" x14ac:dyDescent="0.25">
      <c r="A25" s="7"/>
      <c r="B25" s="235" t="s">
        <v>98</v>
      </c>
      <c r="C25" s="315">
        <f>-(+C26+C30)</f>
        <v>-2032678.35</v>
      </c>
      <c r="D25" s="315">
        <f t="shared" ref="D25:N25" si="3">-(+D26+D30)</f>
        <v>-2362000</v>
      </c>
      <c r="E25" s="315">
        <f t="shared" si="3"/>
        <v>-3288035.57</v>
      </c>
      <c r="F25" s="315">
        <f t="shared" si="3"/>
        <v>-4232179</v>
      </c>
      <c r="G25" s="315">
        <f t="shared" si="3"/>
        <v>-24430500</v>
      </c>
      <c r="H25" s="315">
        <f t="shared" si="3"/>
        <v>-7066158</v>
      </c>
      <c r="I25" s="315">
        <f t="shared" si="3"/>
        <v>-5876280</v>
      </c>
      <c r="J25" s="315">
        <f t="shared" si="3"/>
        <v>0</v>
      </c>
      <c r="K25" s="315">
        <f t="shared" si="3"/>
        <v>0</v>
      </c>
      <c r="L25" s="315">
        <f t="shared" si="3"/>
        <v>0</v>
      </c>
      <c r="M25" s="315">
        <f t="shared" si="3"/>
        <v>0</v>
      </c>
      <c r="N25" s="315">
        <f t="shared" si="3"/>
        <v>0</v>
      </c>
      <c r="O25" s="315">
        <f>SUM(Tabla45[[#This Row],[ENERO]:[DICIEMBRE]])</f>
        <v>-49287830.920000002</v>
      </c>
    </row>
    <row r="26" spans="1:15" x14ac:dyDescent="0.25">
      <c r="A26" s="7"/>
      <c r="B26" s="318" t="s">
        <v>194</v>
      </c>
      <c r="C26" s="239">
        <f>SUM(C27:C29)</f>
        <v>2032678.35</v>
      </c>
      <c r="D26" s="239">
        <f t="shared" ref="D26:N26" si="4">SUM(D27:D29)</f>
        <v>2362000</v>
      </c>
      <c r="E26" s="239">
        <f t="shared" si="4"/>
        <v>2938035.57</v>
      </c>
      <c r="F26" s="239">
        <f t="shared" si="4"/>
        <v>3682179</v>
      </c>
      <c r="G26" s="239">
        <f t="shared" si="4"/>
        <v>12990000</v>
      </c>
      <c r="H26" s="239">
        <f t="shared" si="4"/>
        <v>7066158</v>
      </c>
      <c r="I26" s="239">
        <f t="shared" si="4"/>
        <v>5876280</v>
      </c>
      <c r="J26" s="239">
        <f t="shared" si="4"/>
        <v>0</v>
      </c>
      <c r="K26" s="239">
        <f t="shared" si="4"/>
        <v>0</v>
      </c>
      <c r="L26" s="239">
        <f t="shared" si="4"/>
        <v>0</v>
      </c>
      <c r="M26" s="239">
        <f t="shared" si="4"/>
        <v>0</v>
      </c>
      <c r="N26" s="239">
        <f t="shared" si="4"/>
        <v>0</v>
      </c>
      <c r="O26" s="239">
        <f>SUM(Tabla45[[#This Row],[ENERO]:[DICIEMBRE]])</f>
        <v>36947330.920000002</v>
      </c>
    </row>
    <row r="27" spans="1:15" x14ac:dyDescent="0.25">
      <c r="A27" s="7"/>
      <c r="B27" s="317" t="s">
        <v>311</v>
      </c>
      <c r="C27" s="319">
        <f>SUMIFS(Tabla3[EGRESOS],Tabla3[SOCIO],Tabla45[[#This Row],[ACTIVIDADES]],Tabla3[PERIODO],Tabla45[[#Headers],[ENERO]])</f>
        <v>1032678.3500000001</v>
      </c>
      <c r="D27" s="319">
        <f>SUMIFS(Tabla3[EGRESOS],Tabla3[SOCIO],Tabla45[[#This Row],[ACTIVIDADES]],Tabla3[PERIODO],Tabla45[[#Headers],[FEBRERO]])</f>
        <v>1000000</v>
      </c>
      <c r="E27" s="319">
        <f>SUMIFS(Tabla3[EGRESOS],Tabla3[SOCIO],Tabla45[[#This Row],[ACTIVIDADES]],Tabla3[PERIODO],Tabla45[[#Headers],[MARZO]])</f>
        <v>2300035.5699999998</v>
      </c>
      <c r="F27" s="319">
        <f>SUMIFS(Tabla3[EGRESOS],Tabla3[SOCIO],Tabla45[[#This Row],[ACTIVIDADES]],Tabla3[PERIODO],Tabla45[[#Headers],[ABRIL]])</f>
        <v>3132179</v>
      </c>
      <c r="G27" s="319">
        <f>SUMIFS(Tabla3[EGRESOS],Tabla3[SOCIO],Tabla45[[#This Row],[ACTIVIDADES]],Tabla3[PERIODO],Tabla45[[#Headers],[MAYO]])</f>
        <v>10500000</v>
      </c>
      <c r="H27" s="319">
        <f>SUMIFS(Tabla3[EGRESOS],Tabla3[SOCIO],Tabla45[[#This Row],[ACTIVIDADES]],Tabla3[PERIODO],Tabla45[[#Headers],[JUNIO]])</f>
        <v>3066158</v>
      </c>
      <c r="I27" s="319">
        <f>SUMIFS(Tabla3[EGRESOS],Tabla3[SOCIO],Tabla45[[#This Row],[ACTIVIDADES]],Tabla3[PERIODO],Tabla45[[#Headers],[JULIO]])</f>
        <v>3096280</v>
      </c>
      <c r="J27" s="319">
        <f>SUMIFS(Tabla3[EGRESOS],Tabla3[SOCIO],Tabla45[[#This Row],[ACTIVIDADES]],Tabla3[PERIODO],Tabla45[[#Headers],[AGOSTO]])</f>
        <v>0</v>
      </c>
      <c r="K27" s="319">
        <f>SUMIFS(Tabla3[EGRESOS],Tabla3[SOCIO],Tabla45[[#This Row],[ACTIVIDADES]],Tabla3[PERIODO],Tabla45[[#Headers],[SEPTIEMBRE]])</f>
        <v>0</v>
      </c>
      <c r="L27" s="319">
        <f>SUMIFS(Tabla3[EGRESOS],Tabla3[SOCIO],Tabla45[[#This Row],[ACTIVIDADES]],Tabla3[PERIODO],Tabla45[[#Headers],[OCTUBRE]])</f>
        <v>0</v>
      </c>
      <c r="M27" s="319">
        <f>SUMIFS(Tabla3[EGRESOS],Tabla3[SOCIO],Tabla45[[#This Row],[ACTIVIDADES]],Tabla3[PERIODO],Tabla45[[#Headers],[NOVIEMBRE]])</f>
        <v>0</v>
      </c>
      <c r="N27" s="319">
        <f>SUMIFS(Tabla3[EGRESOS],Tabla3[SOCIO],Tabla45[[#This Row],[ACTIVIDADES]],Tabla3[PERIODO],Tabla45[[#Headers],[DICIEMBRE]])</f>
        <v>0</v>
      </c>
      <c r="O27" s="319">
        <f>SUM(Tabla45[[#This Row],[ENERO]:[DICIEMBRE]])</f>
        <v>24127330.920000002</v>
      </c>
    </row>
    <row r="28" spans="1:15" x14ac:dyDescent="0.25">
      <c r="A28" s="7"/>
      <c r="B28" s="317" t="s">
        <v>332</v>
      </c>
      <c r="C28" s="319">
        <f>SUMIFS(Tabla3[EGRESOS],Tabla3[SOCIO],Tabla45[[#This Row],[ACTIVIDADES]],Tabla3[PERIODO],Tabla45[[#Headers],[ENERO]])</f>
        <v>1000000</v>
      </c>
      <c r="D28" s="319">
        <f>SUMIFS(Tabla3[EGRESOS],Tabla3[SOCIO],Tabla45[[#This Row],[ACTIVIDADES]],Tabla3[PERIODO],Tabla45[[#Headers],[FEBRERO]])</f>
        <v>362000</v>
      </c>
      <c r="E28" s="319">
        <f>SUMIFS(Tabla3[EGRESOS],Tabla3[SOCIO],Tabla45[[#This Row],[ACTIVIDADES]],Tabla3[PERIODO],Tabla45[[#Headers],[MARZO]])</f>
        <v>638000</v>
      </c>
      <c r="F28" s="319">
        <f>SUMIFS(Tabla3[EGRESOS],Tabla3[SOCIO],Tabla45[[#This Row],[ACTIVIDADES]],Tabla3[PERIODO],Tabla45[[#Headers],[ABRIL]])</f>
        <v>550000</v>
      </c>
      <c r="G28" s="319">
        <f>SUMIFS(Tabla3[EGRESOS],Tabla3[SOCIO],Tabla45[[#This Row],[ACTIVIDADES]],Tabla3[PERIODO],Tabla45[[#Headers],[MAYO]])</f>
        <v>2490000</v>
      </c>
      <c r="H28" s="319">
        <f>SUMIFS(Tabla3[EGRESOS],Tabla3[SOCIO],Tabla45[[#This Row],[ACTIVIDADES]],Tabla3[PERIODO],Tabla45[[#Headers],[JUNIO]])</f>
        <v>2000000</v>
      </c>
      <c r="I28" s="319">
        <f>SUMIFS(Tabla3[EGRESOS],Tabla3[SOCIO],Tabla45[[#This Row],[ACTIVIDADES]],Tabla3[PERIODO],Tabla45[[#Headers],[JULIO]])</f>
        <v>1780000</v>
      </c>
      <c r="J28" s="319">
        <f>SUMIFS(Tabla3[EGRESOS],Tabla3[SOCIO],Tabla45[[#This Row],[ACTIVIDADES]],Tabla3[PERIODO],Tabla45[[#Headers],[AGOSTO]])</f>
        <v>0</v>
      </c>
      <c r="K28" s="319">
        <f>SUMIFS(Tabla3[EGRESOS],Tabla3[SOCIO],Tabla45[[#This Row],[ACTIVIDADES]],Tabla3[PERIODO],Tabla45[[#Headers],[SEPTIEMBRE]])</f>
        <v>0</v>
      </c>
      <c r="L28" s="319">
        <f>SUMIFS(Tabla3[EGRESOS],Tabla3[SOCIO],Tabla45[[#This Row],[ACTIVIDADES]],Tabla3[PERIODO],Tabla45[[#Headers],[OCTUBRE]])</f>
        <v>0</v>
      </c>
      <c r="M28" s="319">
        <f>SUMIFS(Tabla3[EGRESOS],Tabla3[SOCIO],Tabla45[[#This Row],[ACTIVIDADES]],Tabla3[PERIODO],Tabla45[[#Headers],[NOVIEMBRE]])</f>
        <v>0</v>
      </c>
      <c r="N28" s="319">
        <f>SUMIFS(Tabla3[EGRESOS],Tabla3[SOCIO],Tabla45[[#This Row],[ACTIVIDADES]],Tabla3[PERIODO],Tabla45[[#Headers],[DICIEMBRE]])</f>
        <v>0</v>
      </c>
      <c r="O28" s="319">
        <f>SUM(Tabla45[[#This Row],[ENERO]:[DICIEMBRE]])</f>
        <v>8820000</v>
      </c>
    </row>
    <row r="29" spans="1:15" x14ac:dyDescent="0.25">
      <c r="A29" s="7"/>
      <c r="B29" s="317" t="s">
        <v>405</v>
      </c>
      <c r="C29" s="319">
        <f>SUMIFS(Tabla3[EGRESOS],Tabla3[SOCIO],Tabla45[[#This Row],[ACTIVIDADES]],Tabla3[PERIODO],Tabla45[[#Headers],[ENERO]])</f>
        <v>0</v>
      </c>
      <c r="D29" s="319">
        <f>SUMIFS(Tabla3[EGRESOS],Tabla3[SOCIO],Tabla45[[#This Row],[ACTIVIDADES]],Tabla3[PERIODO],Tabla45[[#Headers],[FEBRERO]])</f>
        <v>1000000</v>
      </c>
      <c r="E29" s="319">
        <f>SUMIFS(Tabla3[EGRESOS],Tabla3[SOCIO],Tabla45[[#This Row],[ACTIVIDADES]],Tabla3[PERIODO],Tabla45[[#Headers],[MARZO]])</f>
        <v>0</v>
      </c>
      <c r="F29" s="319">
        <f>SUMIFS(Tabla3[EGRESOS],Tabla3[SOCIO],Tabla45[[#This Row],[ACTIVIDADES]],Tabla3[PERIODO],Tabla45[[#Headers],[ABRIL]])</f>
        <v>0</v>
      </c>
      <c r="G29" s="319">
        <f>SUMIFS(Tabla3[EGRESOS],Tabla3[SOCIO],Tabla45[[#This Row],[ACTIVIDADES]],Tabla3[PERIODO],Tabla45[[#Headers],[MAYO]])</f>
        <v>0</v>
      </c>
      <c r="H29" s="319">
        <f>SUMIFS(Tabla3[EGRESOS],Tabla3[SOCIO],Tabla45[[#This Row],[ACTIVIDADES]],Tabla3[PERIODO],Tabla45[[#Headers],[JUNIO]])</f>
        <v>2000000</v>
      </c>
      <c r="I29" s="319">
        <f>SUMIFS(Tabla3[EGRESOS],Tabla3[SOCIO],Tabla45[[#This Row],[ACTIVIDADES]],Tabla3[PERIODO],Tabla45[[#Headers],[JULIO]])</f>
        <v>1000000</v>
      </c>
      <c r="J29" s="319">
        <f>SUMIFS(Tabla3[EGRESOS],Tabla3[SOCIO],Tabla45[[#This Row],[ACTIVIDADES]],Tabla3[PERIODO],Tabla45[[#Headers],[AGOSTO]])</f>
        <v>0</v>
      </c>
      <c r="K29" s="319">
        <f>SUMIFS(Tabla3[EGRESOS],Tabla3[SOCIO],Tabla45[[#This Row],[ACTIVIDADES]],Tabla3[PERIODO],Tabla45[[#Headers],[SEPTIEMBRE]])</f>
        <v>0</v>
      </c>
      <c r="L29" s="319">
        <f>SUMIFS(Tabla3[EGRESOS],Tabla3[SOCIO],Tabla45[[#This Row],[ACTIVIDADES]],Tabla3[PERIODO],Tabla45[[#Headers],[OCTUBRE]])</f>
        <v>0</v>
      </c>
      <c r="M29" s="319">
        <f>SUMIFS(Tabla3[EGRESOS],Tabla3[SOCIO],Tabla45[[#This Row],[ACTIVIDADES]],Tabla3[PERIODO],Tabla45[[#Headers],[NOVIEMBRE]])</f>
        <v>0</v>
      </c>
      <c r="N29" s="319">
        <f>SUMIFS(Tabla3[EGRESOS],Tabla3[SOCIO],Tabla45[[#This Row],[ACTIVIDADES]],Tabla3[PERIODO],Tabla45[[#Headers],[DICIEMBRE]])</f>
        <v>0</v>
      </c>
      <c r="O29" s="319">
        <f>SUM(Tabla45[[#This Row],[ENERO]:[DICIEMBRE]])</f>
        <v>4000000</v>
      </c>
    </row>
    <row r="30" spans="1:15" x14ac:dyDescent="0.25">
      <c r="A30" s="7"/>
      <c r="B30" s="318" t="s">
        <v>237</v>
      </c>
      <c r="C30" s="239">
        <f>SUBTOTAL(109,C31:C33)</f>
        <v>0</v>
      </c>
      <c r="D30" s="239">
        <f t="shared" ref="D30:N30" si="5">SUBTOTAL(109,D31:D33)</f>
        <v>0</v>
      </c>
      <c r="E30" s="239">
        <f t="shared" si="5"/>
        <v>350000</v>
      </c>
      <c r="F30" s="239">
        <f t="shared" si="5"/>
        <v>550000</v>
      </c>
      <c r="G30" s="239">
        <f t="shared" si="5"/>
        <v>11440500</v>
      </c>
      <c r="H30" s="239">
        <f t="shared" si="5"/>
        <v>0</v>
      </c>
      <c r="I30" s="239">
        <f t="shared" si="5"/>
        <v>0</v>
      </c>
      <c r="J30" s="239">
        <f t="shared" si="5"/>
        <v>0</v>
      </c>
      <c r="K30" s="239">
        <f t="shared" si="5"/>
        <v>0</v>
      </c>
      <c r="L30" s="239">
        <f t="shared" si="5"/>
        <v>0</v>
      </c>
      <c r="M30" s="239">
        <f t="shared" si="5"/>
        <v>0</v>
      </c>
      <c r="N30" s="239">
        <f t="shared" si="5"/>
        <v>0</v>
      </c>
      <c r="O30" s="319">
        <f>SUM(Tabla45[[#This Row],[ENERO]:[DICIEMBRE]])</f>
        <v>12340500</v>
      </c>
    </row>
    <row r="31" spans="1:15" x14ac:dyDescent="0.25">
      <c r="A31" s="7"/>
      <c r="B31" s="317" t="s">
        <v>365</v>
      </c>
      <c r="C31" s="319">
        <f>SUMIFS(Tabla3[EGRESOS],Tabla3[PROVEEDOR CLIENTE],Tabla45[[#This Row],[ACTIVIDADES]],Tabla3[PERIODO],Tabla45[[#Headers],[ENERO]])</f>
        <v>0</v>
      </c>
      <c r="D31" s="319">
        <f>SUMIFS(Tabla3[EGRESOS],Tabla3[PROVEEDOR CLIENTE],Tabla45[[#This Row],[ACTIVIDADES]],Tabla3[PERIODO],Tabla45[[#Headers],[FEBRERO]])</f>
        <v>0</v>
      </c>
      <c r="E31" s="319">
        <f>SUMIFS(Tabla3[EGRESOS],Tabla3[PROVEEDOR CLIENTE],Tabla45[[#This Row],[ACTIVIDADES]],Tabla3[PERIODO],Tabla45[[#Headers],[MARZO]])</f>
        <v>0</v>
      </c>
      <c r="F31" s="319">
        <f>SUMIFS(Tabla3[EGRESOS],Tabla3[PROVEEDOR CLIENTE],Tabla45[[#This Row],[ACTIVIDADES]],Tabla3[PERIODO],Tabla45[[#Headers],[ABRIL]])</f>
        <v>0</v>
      </c>
      <c r="G31" s="319">
        <f>SUMIFS(Tabla3[EGRESOS],Tabla3[PROVEEDOR CLIENTE],Tabla45[[#This Row],[ACTIVIDADES]],Tabla3[PERIODO],Tabla45[[#Headers],[MAYO]])</f>
        <v>8758500</v>
      </c>
      <c r="H31" s="320"/>
      <c r="I31" s="320"/>
      <c r="J31" s="320"/>
      <c r="K31" s="320"/>
      <c r="L31" s="320"/>
      <c r="M31" s="320"/>
      <c r="N31" s="320"/>
      <c r="O31" s="319">
        <f>SUM(Tabla45[[#This Row],[ENERO]:[DICIEMBRE]])</f>
        <v>8758500</v>
      </c>
    </row>
    <row r="32" spans="1:15" x14ac:dyDescent="0.25">
      <c r="A32" s="7"/>
      <c r="B32" s="317" t="s">
        <v>418</v>
      </c>
      <c r="C32" s="319">
        <f>SUMIFS(Tabla3[EGRESOS],Tabla3[PROVEEDOR CLIENTE],Tabla45[[#This Row],[ACTIVIDADES]],Tabla3[PERIODO],Tabla45[[#Headers],[ENERO]])</f>
        <v>0</v>
      </c>
      <c r="D32" s="319">
        <f>SUMIFS(Tabla3[EGRESOS],Tabla3[PROVEEDOR CLIENTE],Tabla45[[#This Row],[ACTIVIDADES]],Tabla3[PERIODO],Tabla45[[#Headers],[FEBRERO]])</f>
        <v>0</v>
      </c>
      <c r="E32" s="319">
        <f>SUMIFS(Tabla3[EGRESOS],Tabla3[PROVEEDOR CLIENTE],Tabla45[[#This Row],[ACTIVIDADES]],Tabla3[PERIODO],Tabla45[[#Headers],[MARZO]])</f>
        <v>350000</v>
      </c>
      <c r="F32" s="319">
        <f>SUMIFS(Tabla3[EGRESOS],Tabla3[PROVEEDOR CLIENTE],Tabla45[[#This Row],[ACTIVIDADES]],Tabla3[PERIODO],Tabla45[[#Headers],[ABRIL]])</f>
        <v>550000</v>
      </c>
      <c r="G32" s="319">
        <f>SUMIFS(Tabla3[EGRESOS],Tabla3[PROVEEDOR CLIENTE],Tabla45[[#This Row],[ACTIVIDADES]],Tabla3[PERIODO],Tabla45[[#Headers],[MAYO]])</f>
        <v>2682000</v>
      </c>
      <c r="H32" s="119"/>
      <c r="I32" s="119"/>
      <c r="J32" s="119"/>
      <c r="K32" s="119"/>
      <c r="L32" s="119"/>
      <c r="M32" s="119"/>
      <c r="N32" s="119"/>
      <c r="O32" s="319">
        <f>SUM(Tabla45[[#This Row],[ENERO]:[DICIEMBRE]])</f>
        <v>3582000</v>
      </c>
    </row>
    <row r="33" spans="1:15" x14ac:dyDescent="0.25">
      <c r="A33" s="7"/>
      <c r="B33" s="317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319">
        <f>SUM(Tabla45[[#This Row],[ENERO]:[DICIEMBRE]])</f>
        <v>0</v>
      </c>
    </row>
    <row r="34" spans="1:15" x14ac:dyDescent="0.25">
      <c r="A34" s="7"/>
      <c r="B34" s="236" t="s">
        <v>284</v>
      </c>
      <c r="C34" s="237">
        <f>C16+C25</f>
        <v>-2032678.35</v>
      </c>
      <c r="D34" s="237">
        <f t="shared" ref="D34:N34" si="6">D16+D25</f>
        <v>-2362000</v>
      </c>
      <c r="E34" s="237">
        <f t="shared" si="6"/>
        <v>2841964.43</v>
      </c>
      <c r="F34" s="237">
        <f t="shared" si="6"/>
        <v>7938821</v>
      </c>
      <c r="G34" s="237">
        <f t="shared" si="6"/>
        <v>-22433478.27</v>
      </c>
      <c r="H34" s="237">
        <f t="shared" si="6"/>
        <v>-7048685</v>
      </c>
      <c r="I34" s="237">
        <f t="shared" si="6"/>
        <v>-5876280</v>
      </c>
      <c r="J34" s="237">
        <f t="shared" si="6"/>
        <v>0</v>
      </c>
      <c r="K34" s="237">
        <f t="shared" si="6"/>
        <v>0</v>
      </c>
      <c r="L34" s="237">
        <f t="shared" si="6"/>
        <v>0</v>
      </c>
      <c r="M34" s="237">
        <f t="shared" si="6"/>
        <v>0</v>
      </c>
      <c r="N34" s="237">
        <f t="shared" si="6"/>
        <v>0</v>
      </c>
      <c r="O34" s="236"/>
    </row>
    <row r="35" spans="1:15" x14ac:dyDescent="0.25">
      <c r="A35" s="7"/>
      <c r="B35" s="317" t="s">
        <v>740</v>
      </c>
      <c r="C35" s="119">
        <f>C34</f>
        <v>-2032678.35</v>
      </c>
      <c r="D35" s="126">
        <f>Tabla45[[#This Row],[ENERO]]+D34</f>
        <v>-4394678.3499999996</v>
      </c>
      <c r="E35" s="126">
        <f>Tabla45[[#This Row],[FEBRERO]]+E34</f>
        <v>-1552713.9199999995</v>
      </c>
      <c r="F35" s="126">
        <f>Tabla45[[#This Row],[MARZO]]+F34</f>
        <v>6386107.0800000001</v>
      </c>
      <c r="G35" s="126">
        <f>Tabla45[[#This Row],[ABRIL]]+G34</f>
        <v>-16047371.189999999</v>
      </c>
      <c r="H35" s="126">
        <f>Tabla45[[#This Row],[MAYO]]+H34</f>
        <v>-23096056.189999998</v>
      </c>
      <c r="I35" s="126">
        <f>Tabla45[[#This Row],[JUNIO]]+I34</f>
        <v>-28972336.189999998</v>
      </c>
      <c r="J35" s="126">
        <f>Tabla45[[#This Row],[JULIO]]+J34</f>
        <v>-28972336.189999998</v>
      </c>
      <c r="K35" s="126">
        <f>Tabla45[[#This Row],[AGOSTO]]+K34</f>
        <v>-28972336.189999998</v>
      </c>
      <c r="L35" s="126">
        <f>Tabla45[[#This Row],[SEPTIEMBRE]]+L34</f>
        <v>-28972336.189999998</v>
      </c>
      <c r="M35" s="126">
        <f>Tabla45[[#This Row],[OCTUBRE]]+M34</f>
        <v>-28972336.189999998</v>
      </c>
      <c r="N35" s="126">
        <f>Tabla45[[#This Row],[NOVIEMBRE]]+N34</f>
        <v>-28972336.189999998</v>
      </c>
      <c r="O35" s="230"/>
    </row>
    <row r="36" spans="1:15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</sheetData>
  <phoneticPr fontId="18" type="noConversion"/>
  <pageMargins left="0.25" right="0.25" top="0.75" bottom="0.75" header="0.3" footer="0.3"/>
  <pageSetup paperSize="5" orientation="landscape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4132-FDC8-402D-8DC9-6095B8B3C89C}">
  <sheetPr codeName="Hoja7"/>
  <dimension ref="A1:AK20"/>
  <sheetViews>
    <sheetView workbookViewId="0">
      <selection activeCell="H15" sqref="H15"/>
    </sheetView>
  </sheetViews>
  <sheetFormatPr baseColWidth="10" defaultColWidth="11.42578125" defaultRowHeight="15" x14ac:dyDescent="0.25"/>
  <cols>
    <col min="1" max="1" width="17" style="1" bestFit="1" customWidth="1"/>
    <col min="2" max="2" width="3.5703125" customWidth="1"/>
    <col min="3" max="4" width="12.42578125" customWidth="1"/>
    <col min="5" max="5" width="15.85546875" customWidth="1"/>
    <col min="6" max="6" width="11" customWidth="1"/>
    <col min="7" max="7" width="14.7109375" customWidth="1"/>
    <col min="8" max="8" width="17.42578125" customWidth="1"/>
    <col min="9" max="10" width="14" customWidth="1"/>
    <col min="11" max="11" width="2.5703125" customWidth="1"/>
    <col min="12" max="12" width="19.42578125" bestFit="1" customWidth="1"/>
    <col min="13" max="14" width="14.7109375" customWidth="1"/>
    <col min="15" max="15" width="2.5703125" customWidth="1"/>
    <col min="16" max="16" width="19.7109375" customWidth="1"/>
    <col min="17" max="17" width="21.5703125" customWidth="1"/>
    <col min="18" max="18" width="2.85546875" customWidth="1"/>
    <col min="19" max="19" width="21" customWidth="1"/>
    <col min="20" max="20" width="2.5703125" customWidth="1"/>
    <col min="21" max="21" width="17.42578125" bestFit="1" customWidth="1"/>
    <col min="22" max="22" width="18.28515625" customWidth="1"/>
    <col min="23" max="23" width="12" customWidth="1"/>
    <col min="24" max="24" width="18.140625" customWidth="1"/>
    <col min="25" max="25" width="4.5703125" customWidth="1"/>
  </cols>
  <sheetData>
    <row r="1" spans="1:37" x14ac:dyDescent="0.25">
      <c r="A1" s="3" t="s">
        <v>724</v>
      </c>
      <c r="C1" s="3" t="s">
        <v>184</v>
      </c>
      <c r="D1" s="3"/>
      <c r="E1" s="3"/>
      <c r="F1" s="3"/>
      <c r="G1" s="406"/>
      <c r="H1" s="406"/>
      <c r="I1" s="406"/>
      <c r="J1" s="406"/>
      <c r="L1" s="4" t="s">
        <v>741</v>
      </c>
      <c r="M1" s="4"/>
      <c r="N1" s="4"/>
      <c r="P1" s="3" t="s">
        <v>197</v>
      </c>
      <c r="Q1" s="4"/>
      <c r="S1" s="3" t="s">
        <v>742</v>
      </c>
      <c r="T1" s="7"/>
      <c r="U1" s="3" t="s">
        <v>204</v>
      </c>
      <c r="V1" s="3"/>
      <c r="W1" s="3"/>
      <c r="X1" s="3"/>
      <c r="Y1" s="7"/>
      <c r="Z1" s="3" t="s">
        <v>223</v>
      </c>
      <c r="AA1" s="3"/>
      <c r="AB1" s="3"/>
      <c r="AC1" s="3"/>
      <c r="AD1" s="3"/>
    </row>
    <row r="2" spans="1:37" x14ac:dyDescent="0.25">
      <c r="A2" s="10" t="s">
        <v>184</v>
      </c>
      <c r="C2" s="5" t="s">
        <v>191</v>
      </c>
      <c r="D2" s="5"/>
      <c r="E2" s="5"/>
      <c r="F2" s="5" t="s">
        <v>194</v>
      </c>
      <c r="G2" s="5" t="s">
        <v>237</v>
      </c>
      <c r="H2" s="5" t="s">
        <v>188</v>
      </c>
      <c r="I2" s="5" t="s">
        <v>185</v>
      </c>
      <c r="J2" s="5" t="s">
        <v>227</v>
      </c>
      <c r="L2" s="5" t="s">
        <v>743</v>
      </c>
      <c r="M2" s="5" t="s">
        <v>744</v>
      </c>
      <c r="N2" s="5" t="s">
        <v>60</v>
      </c>
      <c r="P2" s="5" t="s">
        <v>745</v>
      </c>
      <c r="Q2" s="5" t="s">
        <v>746</v>
      </c>
      <c r="S2" s="5" t="s">
        <v>142</v>
      </c>
      <c r="T2" s="7"/>
      <c r="U2" s="5" t="s">
        <v>210</v>
      </c>
      <c r="V2" s="5" t="s">
        <v>205</v>
      </c>
      <c r="W2" s="5" t="s">
        <v>208</v>
      </c>
      <c r="X2" s="5" t="s">
        <v>747</v>
      </c>
      <c r="Y2" s="7"/>
      <c r="Z2" s="5" t="s">
        <v>748</v>
      </c>
      <c r="AA2" s="5" t="s">
        <v>749</v>
      </c>
      <c r="AB2" s="5" t="s">
        <v>750</v>
      </c>
      <c r="AC2" s="5" t="s">
        <v>241</v>
      </c>
      <c r="AD2" s="5" t="s">
        <v>751</v>
      </c>
    </row>
    <row r="3" spans="1:37" x14ac:dyDescent="0.25">
      <c r="A3" s="10" t="s">
        <v>197</v>
      </c>
      <c r="C3" s="6" t="s">
        <v>752</v>
      </c>
      <c r="D3" s="6" t="s">
        <v>227</v>
      </c>
      <c r="E3" s="6" t="s">
        <v>753</v>
      </c>
      <c r="F3" s="6" t="s">
        <v>236</v>
      </c>
      <c r="G3" s="6" t="s">
        <v>754</v>
      </c>
      <c r="H3" s="6" t="s">
        <v>755</v>
      </c>
      <c r="I3" s="6" t="s">
        <v>356</v>
      </c>
      <c r="J3" s="6" t="s">
        <v>228</v>
      </c>
      <c r="L3" s="6" t="s">
        <v>756</v>
      </c>
      <c r="M3" s="6"/>
      <c r="N3" s="6" t="s">
        <v>757</v>
      </c>
      <c r="P3" s="6" t="s">
        <v>758</v>
      </c>
      <c r="Q3" s="6" t="s">
        <v>758</v>
      </c>
      <c r="S3" s="6" t="s">
        <v>758</v>
      </c>
      <c r="T3" s="7"/>
      <c r="U3" s="6" t="s">
        <v>759</v>
      </c>
      <c r="V3" s="6" t="s">
        <v>760</v>
      </c>
      <c r="W3" s="6" t="s">
        <v>761</v>
      </c>
      <c r="X3" s="6" t="s">
        <v>762</v>
      </c>
      <c r="Y3" s="7"/>
      <c r="Z3" s="6" t="s">
        <v>763</v>
      </c>
      <c r="AA3" s="6" t="s">
        <v>222</v>
      </c>
      <c r="AB3" s="6" t="s">
        <v>222</v>
      </c>
      <c r="AC3" s="6" t="s">
        <v>222</v>
      </c>
    </row>
    <row r="4" spans="1:37" x14ac:dyDescent="0.25">
      <c r="A4" s="10" t="s">
        <v>742</v>
      </c>
      <c r="C4" s="407" t="s">
        <v>764</v>
      </c>
      <c r="D4" s="407"/>
      <c r="E4" s="407"/>
      <c r="F4" s="6" t="s">
        <v>195</v>
      </c>
      <c r="G4" s="6" t="s">
        <v>765</v>
      </c>
      <c r="H4" s="6" t="s">
        <v>766</v>
      </c>
      <c r="I4" s="6" t="s">
        <v>226</v>
      </c>
      <c r="J4" s="6" t="s">
        <v>767</v>
      </c>
      <c r="L4" s="6"/>
      <c r="M4" s="6"/>
      <c r="N4" s="6"/>
      <c r="P4" s="6" t="s">
        <v>768</v>
      </c>
      <c r="Q4" s="6" t="s">
        <v>768</v>
      </c>
      <c r="S4" s="6" t="s">
        <v>33</v>
      </c>
      <c r="T4" s="7"/>
      <c r="U4" s="6" t="s">
        <v>211</v>
      </c>
      <c r="V4" s="6" t="s">
        <v>769</v>
      </c>
      <c r="W4" s="6" t="s">
        <v>767</v>
      </c>
      <c r="X4" s="6" t="s">
        <v>770</v>
      </c>
      <c r="Y4" s="7"/>
      <c r="Z4" s="6" t="s">
        <v>222</v>
      </c>
      <c r="AA4" s="6" t="s">
        <v>771</v>
      </c>
      <c r="AB4" s="6" t="s">
        <v>772</v>
      </c>
      <c r="AC4" s="6"/>
    </row>
    <row r="5" spans="1:37" x14ac:dyDescent="0.25">
      <c r="A5" s="10" t="s">
        <v>204</v>
      </c>
      <c r="C5" s="407" t="s">
        <v>315</v>
      </c>
      <c r="D5" s="407"/>
      <c r="E5" s="407"/>
      <c r="F5" s="6"/>
      <c r="G5" s="6"/>
      <c r="H5" s="6" t="s">
        <v>773</v>
      </c>
      <c r="I5" s="6" t="s">
        <v>186</v>
      </c>
      <c r="J5" s="6"/>
      <c r="L5" s="6"/>
      <c r="M5" s="6"/>
      <c r="N5" s="6"/>
      <c r="P5" s="6" t="s">
        <v>774</v>
      </c>
      <c r="Q5" s="6" t="s">
        <v>774</v>
      </c>
      <c r="S5" s="6" t="s">
        <v>775</v>
      </c>
      <c r="T5" s="7"/>
      <c r="U5" s="6" t="s">
        <v>250</v>
      </c>
      <c r="V5" s="6" t="s">
        <v>776</v>
      </c>
      <c r="W5" s="6"/>
      <c r="X5" s="6"/>
      <c r="Y5" s="7"/>
      <c r="Z5" s="6" t="s">
        <v>772</v>
      </c>
      <c r="AA5" s="6"/>
      <c r="AB5" s="6"/>
      <c r="AC5" s="6"/>
    </row>
    <row r="6" spans="1:37" x14ac:dyDescent="0.25">
      <c r="A6" s="10" t="s">
        <v>59</v>
      </c>
      <c r="C6" s="407" t="s">
        <v>313</v>
      </c>
      <c r="D6" s="407"/>
      <c r="E6" s="407"/>
      <c r="F6" s="6"/>
      <c r="G6" s="6"/>
      <c r="H6" s="6" t="s">
        <v>232</v>
      </c>
      <c r="I6" s="6" t="s">
        <v>777</v>
      </c>
      <c r="J6" s="6"/>
      <c r="L6" s="6"/>
      <c r="M6" s="6"/>
      <c r="N6" s="6"/>
      <c r="P6" s="6" t="s">
        <v>778</v>
      </c>
      <c r="Q6" s="6" t="s">
        <v>778</v>
      </c>
      <c r="S6" s="6" t="s">
        <v>222</v>
      </c>
      <c r="T6" s="7"/>
      <c r="U6" s="6" t="s">
        <v>33</v>
      </c>
      <c r="V6" s="6" t="s">
        <v>779</v>
      </c>
      <c r="W6" s="6"/>
      <c r="X6" s="6"/>
      <c r="Y6" s="7"/>
    </row>
    <row r="7" spans="1:37" x14ac:dyDescent="0.25">
      <c r="H7" s="6" t="s">
        <v>334</v>
      </c>
      <c r="I7" s="6" t="s">
        <v>780</v>
      </c>
      <c r="P7" s="6" t="s">
        <v>781</v>
      </c>
      <c r="Q7" s="6" t="s">
        <v>781</v>
      </c>
      <c r="S7" s="6" t="s">
        <v>782</v>
      </c>
      <c r="T7" s="7"/>
      <c r="U7" s="6" t="s">
        <v>230</v>
      </c>
      <c r="V7" s="6" t="s">
        <v>783</v>
      </c>
      <c r="W7" s="6"/>
      <c r="X7" s="6"/>
      <c r="Y7" s="7"/>
    </row>
    <row r="8" spans="1:37" x14ac:dyDescent="0.25">
      <c r="H8" s="6" t="s">
        <v>337</v>
      </c>
      <c r="I8" s="6" t="s">
        <v>772</v>
      </c>
      <c r="P8" s="6" t="s">
        <v>501</v>
      </c>
      <c r="Q8" s="6" t="s">
        <v>501</v>
      </c>
      <c r="S8" s="6" t="s">
        <v>199</v>
      </c>
      <c r="T8" s="7"/>
      <c r="U8" s="6" t="s">
        <v>212</v>
      </c>
      <c r="V8" s="6" t="s">
        <v>784</v>
      </c>
      <c r="W8" s="6"/>
      <c r="X8" s="6"/>
      <c r="Y8" s="7"/>
    </row>
    <row r="9" spans="1:37" x14ac:dyDescent="0.25">
      <c r="H9" s="6" t="s">
        <v>785</v>
      </c>
      <c r="P9" s="6" t="s">
        <v>202</v>
      </c>
      <c r="Q9" s="6" t="s">
        <v>202</v>
      </c>
      <c r="S9" s="6" t="s">
        <v>786</v>
      </c>
      <c r="T9" s="7"/>
      <c r="U9" s="6" t="s">
        <v>229</v>
      </c>
      <c r="V9" s="6" t="s">
        <v>787</v>
      </c>
      <c r="W9" s="6"/>
      <c r="X9" s="6"/>
      <c r="Y9" s="7"/>
    </row>
    <row r="10" spans="1:37" x14ac:dyDescent="0.25">
      <c r="P10" s="6" t="s">
        <v>249</v>
      </c>
      <c r="Q10" s="6" t="s">
        <v>249</v>
      </c>
      <c r="S10" s="6" t="s">
        <v>788</v>
      </c>
      <c r="T10" s="7"/>
      <c r="U10" s="6" t="s">
        <v>789</v>
      </c>
      <c r="V10" s="6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x14ac:dyDescent="0.25">
      <c r="P11" s="6" t="s">
        <v>790</v>
      </c>
      <c r="Q11" s="6" t="s">
        <v>790</v>
      </c>
      <c r="S11" s="6" t="s">
        <v>736</v>
      </c>
      <c r="T11" s="7"/>
      <c r="U11" s="6" t="s">
        <v>753</v>
      </c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x14ac:dyDescent="0.25">
      <c r="P12" s="6" t="s">
        <v>203</v>
      </c>
      <c r="Q12" s="6" t="s">
        <v>203</v>
      </c>
      <c r="S12" s="6" t="s">
        <v>204</v>
      </c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x14ac:dyDescent="0.25">
      <c r="P13" s="6" t="s">
        <v>791</v>
      </c>
      <c r="Q13" s="6" t="s">
        <v>791</v>
      </c>
      <c r="S13" s="6" t="s">
        <v>231</v>
      </c>
      <c r="T13" s="7"/>
      <c r="U13" s="7"/>
      <c r="V13" s="7"/>
      <c r="W13" s="7"/>
      <c r="X13" s="7"/>
      <c r="Y13" s="7"/>
      <c r="Z13" s="7"/>
      <c r="AA13" s="7"/>
      <c r="AB13" s="9"/>
      <c r="AC13" s="7"/>
      <c r="AD13" s="7"/>
      <c r="AE13" s="7"/>
      <c r="AF13" s="7"/>
      <c r="AG13" s="7"/>
      <c r="AH13" s="7"/>
      <c r="AI13" s="7"/>
      <c r="AJ13" s="7"/>
      <c r="AK13" s="7"/>
    </row>
    <row r="14" spans="1:37" x14ac:dyDescent="0.25">
      <c r="P14" s="6" t="s">
        <v>33</v>
      </c>
      <c r="Q14" s="6" t="s">
        <v>33</v>
      </c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 spans="1:37" x14ac:dyDescent="0.25">
      <c r="P15" s="6" t="s">
        <v>736</v>
      </c>
      <c r="Q15" s="6" t="s">
        <v>736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spans="1:37" x14ac:dyDescent="0.25">
      <c r="A16" s="2"/>
      <c r="P16" s="6" t="s">
        <v>792</v>
      </c>
      <c r="Q16" s="6" t="s">
        <v>792</v>
      </c>
      <c r="S16" s="8"/>
      <c r="T16" s="8"/>
      <c r="U16" s="8"/>
      <c r="V16" s="8"/>
      <c r="W16" s="8"/>
      <c r="X16" s="8"/>
      <c r="Y16" s="8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x14ac:dyDescent="0.25">
      <c r="A17" s="2"/>
      <c r="P17" s="6" t="s">
        <v>793</v>
      </c>
      <c r="Q17" s="6"/>
      <c r="S17" s="8"/>
      <c r="T17" s="8"/>
      <c r="U17" s="8"/>
      <c r="V17" s="8"/>
      <c r="W17" s="8"/>
      <c r="X17" s="8"/>
      <c r="Y17" s="8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spans="1:37" x14ac:dyDescent="0.25">
      <c r="A18" s="2"/>
      <c r="P18" s="6" t="s">
        <v>794</v>
      </c>
      <c r="S18" s="8"/>
      <c r="T18" s="8"/>
      <c r="U18" s="8"/>
      <c r="V18" s="8"/>
      <c r="W18" s="8"/>
      <c r="X18" s="8"/>
      <c r="Y18" s="8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spans="1:37" x14ac:dyDescent="0.25">
      <c r="S19" s="8"/>
      <c r="T19" s="8"/>
      <c r="U19" s="8"/>
      <c r="V19" s="8"/>
      <c r="W19" s="8"/>
      <c r="X19" s="8"/>
      <c r="Y19" s="8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spans="1:37" x14ac:dyDescent="0.25"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</sheetData>
  <sheetProtection sheet="1" objects="1" scenarios="1"/>
  <mergeCells count="4">
    <mergeCell ref="G1:J1"/>
    <mergeCell ref="C4:E4"/>
    <mergeCell ref="C5:E5"/>
    <mergeCell ref="C6:E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9 b 3 f 4 2 8 - 9 c 4 0 - 4 7 b 8 - a 5 9 c - 2 8 f 4 b 2 c 6 4 0 2 1 "   x m l n s = " h t t p : / / s c h e m a s . m i c r o s o f t . c o m / D a t a M a s h u p " > A A A A A P M E A A B Q S w M E F A A C A A g A E 0 O H W g A O T o u k A A A A 9 g A A A B I A H A B D b 2 5 m a W c v U G F j a 2 F n Z S 5 4 b W w g o h g A K K A U A A A A A A A A A A A A A A A A A A A A A A A A A A A A h Y 9 N C s I w G E S v U r J v / h S R 8 j V F 3 F o Q B X E b Y m y D b S p N a n o 3 F x 7 J K 1 j R q j u X 8 + Y t Z u 7 X G 2 R 9 X U U X 3 T r T 2 B Q x T F G k r W o O x h Y p 6 v w x n q N M w F q q k y x 0 N M j W J b 0 7 p K j 0 / p w Q E k L A Y Y K b t i C c U k b 2 + W q r S l 1 L 9 J H N f z k 2 1 n l p l U Y C d q 8 x g m M 2 Z X h G O a Z A R g i 5 s V + B D 3 u f 7 Q + E Z V f 5 r t V C u 3 i x A T J G I O 8 P 4 g F Q S w M E F A A C A A g A E 0 O H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N D h 1 q E f H O K 7 Q E A A F 0 H A A A T A B w A R m 9 y b X V s Y X M v U 2 V j d G l v b j E u b S C i G A A o o B Q A A A A A A A A A A A A A A A A A A A A A A A A A A A D N l U 9 r 2 z A Y x u + B f A e h w k j A B L q N H V Z y 0 G Q l E 4 2 l Y L k b r C 5 F j r X N 1 J G C L R c X k + 8 + x U n a p F m g h 7 D F F 2 M 9 7 5 9 H r 3 7 I p Z r Z z G g g 1 u / L q 2 6 n 2 y l / y 0 K l I E A 4 5 J d g C H J l u x 3 g H l 5 k v 5 R 2 K 6 S e q X z w 3 R Q P i T E P v V G W q w E 2 2 i p t y x 7 E n + O b U h V l f K 0 e M x 3 7 h V k k p o 6 R H 1 B G R R Q i T D k D 4 3 c E C B S P K E P s B x K r 7 z j g 3 8 A X x D A K K R e D O i 9 r 2 P e A r v L c A 7 a o V N 9 b G 2 m t 3 U c y y Z V z s 7 b V 3 F K r 5 k P Y a t C 7 z n Q 6 h G 0 I v F v e + t L K u 0 3 2 B Y y y h Q E z O U 8 y m R r o S r R x g 6 i Q u v x p i j k 2 e T X X 0 d N C l b 2 d X l 7 T w B H B X x F 0 d p w I U m n V 0 g M N 9 I n A I Z 2 u N r b V r K p t q z H g E x C S E Q k J w 3 S V S 7 X 9 9 H G w K t 8 G k H F I B B f b R F 3 N E 1 W 0 C m V H p Y A z 4 q O D Z p g z T K Y R P x B 8 E q H J h I g D Q X D n e r s q 9 d O 6 z A 1 h 0 W H 1 1 d n s l 1 7 2 u 5 1 M / 3 2 u u z B N U T B F H 8 4 S p t b a E Z h a 7 Y Q w 7 f T 6 n z C 9 y t l n 6 Z m B t 6 K 0 T f g 3 J F 2 s c + + d P c E n 1 E c + B 7 3 3 f X i W b I 3 R h L p j O k L X R j 0 h X 3 v 9 T k X Y 3 n m e 0 W X 1 U u f t j D 1 P 1 V F Q V r m V b m O q l q l 8 G S w 2 b t R a 9 Z r X o / c 2 v 0 R v c 5 v t E 3 t Q 8 O o P U E s B A i 0 A F A A C A A g A E 0 O H W g A O T o u k A A A A 9 g A A A B I A A A A A A A A A A A A A A A A A A A A A A E N v b m Z p Z y 9 Q Y W N r Y W d l L n h t b F B L A Q I t A B Q A A g A I A B N D h 1 o P y u m r p A A A A O k A A A A T A A A A A A A A A A A A A A A A A P A A A A B b Q 2 9 u d G V u d F 9 U e X B l c 1 0 u e G 1 s U E s B A i 0 A F A A C A A g A E 0 O H W o R 8 c 4 r t A Q A A X Q c A A B M A A A A A A A A A A A A A A A A A 4 Q E A A E Z v c m 1 1 b G F z L 1 N l Y 3 R p b 2 4 x L m 1 Q S w U G A A A A A A M A A w D C A A A A G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i g A A A A A A A B o K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U F D U k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z O G R m M W Y 3 M C 1 h Y j U 2 L T Q y M D I t Y T Q 4 N i 0 4 N j Q z Y T A 4 Y 2 Z m Y z M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Q U N S T z E v Q X V 0 b 1 J l b W 9 2 Z W R D b 2 x 1 b W 5 z M S 5 7 R k V D S E E s M H 0 m c X V v d D s s J n F 1 b 3 Q 7 U 2 V j d G l v b j E v T U F D U k 8 x L 0 F 1 d G 9 S Z W 1 v d m V k Q 2 9 s d W 1 u c z E u e 0 R F U 0 N S S V B D S U 9 O L D F 9 J n F 1 b 3 Q 7 L C Z x d W 9 0 O 1 N l Y 3 R p b 2 4 x L 0 1 B Q 1 J P M S 9 B d X R v U m V t b 3 Z l Z E N v b H V t b n M x L n t O I E R F I F J F R k V S R U 5 D S U E s M n 0 m c X V v d D s s J n F 1 b 3 Q 7 U 2 V j d G l v b j E v T U F D U k 8 x L 0 F 1 d G 9 S Z W 1 v d m V k Q 2 9 s d W 1 u c z E u e 0 V H U k V T T 1 M s M 3 0 m c X V v d D s s J n F 1 b 3 Q 7 U 2 V j d G l v b j E v T U F D U k 8 x L 0 F 1 d G 9 S Z W 1 v d m V k Q 2 9 s d W 1 u c z E u e 0 l O R 1 J F U 0 9 T L D R 9 J n F 1 b 3 Q 7 L C Z x d W 9 0 O 1 N l Y 3 R p b 2 4 x L 0 1 B Q 1 J P M S 9 B d X R v U m V t b 3 Z l Z E N v b H V t b n M x L n t N T 0 5 F R E E s N X 0 m c X V v d D s s J n F 1 b 3 Q 7 U 2 V j d G l v b j E v T U F D U k 8 x L 0 F 1 d G 9 S Z W 1 v d m V k Q 2 9 s d W 1 u c z E u e 0 N P T k N F U F R P L D Z 9 J n F 1 b 3 Q 7 L C Z x d W 9 0 O 1 N l Y 3 R p b 2 4 x L 0 1 B Q 1 J P M S 9 B d X R v U m V t b 3 Z l Z E N v b H V t b n M x L n t E R V R B T E x F U y w 3 f S Z x d W 9 0 O y w m c X V v d D t T Z W N 0 a W 9 u M S 9 N Q U N S T z E v Q X V 0 b 1 J l b W 9 2 Z W R D b 2 x 1 b W 5 z M S 5 7 U 0 9 D S U 8 s O H 0 m c X V v d D s s J n F 1 b 3 Q 7 U 2 V j d G l v b j E v T U F D U k 8 x L 0 F 1 d G 9 S Z W 1 v d m V k Q 2 9 s d W 1 u c z E u e 0 N V R U 5 U Q S w 5 f S Z x d W 9 0 O y w m c X V v d D t T Z W N 0 a W 9 u M S 9 N Q U N S T z E v Q X V 0 b 1 J l b W 9 2 Z W R D b 2 x 1 b W 5 z M S 5 7 Q k F O Q 0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N Q U N S T z E v Q X V 0 b 1 J l b W 9 2 Z W R D b 2 x 1 b W 5 z M S 5 7 R k V D S E E s M H 0 m c X V v d D s s J n F 1 b 3 Q 7 U 2 V j d G l v b j E v T U F D U k 8 x L 0 F 1 d G 9 S Z W 1 v d m V k Q 2 9 s d W 1 u c z E u e 0 R F U 0 N S S V B D S U 9 O L D F 9 J n F 1 b 3 Q 7 L C Z x d W 9 0 O 1 N l Y 3 R p b 2 4 x L 0 1 B Q 1 J P M S 9 B d X R v U m V t b 3 Z l Z E N v b H V t b n M x L n t O I E R F I F J F R k V S R U 5 D S U E s M n 0 m c X V v d D s s J n F 1 b 3 Q 7 U 2 V j d G l v b j E v T U F D U k 8 x L 0 F 1 d G 9 S Z W 1 v d m V k Q 2 9 s d W 1 u c z E u e 0 V H U k V T T 1 M s M 3 0 m c X V v d D s s J n F 1 b 3 Q 7 U 2 V j d G l v b j E v T U F D U k 8 x L 0 F 1 d G 9 S Z W 1 v d m V k Q 2 9 s d W 1 u c z E u e 0 l O R 1 J F U 0 9 T L D R 9 J n F 1 b 3 Q 7 L C Z x d W 9 0 O 1 N l Y 3 R p b 2 4 x L 0 1 B Q 1 J P M S 9 B d X R v U m V t b 3 Z l Z E N v b H V t b n M x L n t N T 0 5 F R E E s N X 0 m c X V v d D s s J n F 1 b 3 Q 7 U 2 V j d G l v b j E v T U F D U k 8 x L 0 F 1 d G 9 S Z W 1 v d m V k Q 2 9 s d W 1 u c z E u e 0 N P T k N F U F R P L D Z 9 J n F 1 b 3 Q 7 L C Z x d W 9 0 O 1 N l Y 3 R p b 2 4 x L 0 1 B Q 1 J P M S 9 B d X R v U m V t b 3 Z l Z E N v b H V t b n M x L n t E R V R B T E x F U y w 3 f S Z x d W 9 0 O y w m c X V v d D t T Z W N 0 a W 9 u M S 9 N Q U N S T z E v Q X V 0 b 1 J l b W 9 2 Z W R D b 2 x 1 b W 5 z M S 5 7 U 0 9 D S U 8 s O H 0 m c X V v d D s s J n F 1 b 3 Q 7 U 2 V j d G l v b j E v T U F D U k 8 x L 0 F 1 d G 9 S Z W 1 v d m V k Q 2 9 s d W 1 u c z E u e 0 N V R U 5 U Q S w 5 f S Z x d W 9 0 O y w m c X V v d D t T Z W N 0 a W 9 u M S 9 N Q U N S T z E v Q X V 0 b 1 J l b W 9 2 Z W R D b 2 x 1 b W 5 z M S 5 7 Q k F O Q 0 8 s M T B 9 J n F 1 b 3 Q 7 X S w m c X V v d D t S Z W x h d G l v b n N o a X B J b m Z v J n F 1 b 3 Q 7 O l t d f S I g L z 4 8 R W 5 0 c n k g V H l w Z T 0 i R m l s b E x h c 3 R V c G R h d G V k I i B W Y W x 1 Z T 0 i Z D I w M j U t M D Q t M D d U M T E 6 M j Q 6 M z g u M z g 4 M D c 2 M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B Q 1 J P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N S T z E v T U F D U k 9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U N S T z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N U E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0 Z j Y x N j g 5 N i 0 1 N T R h L T Q y N D M t Y m E x M y 0 x N T M y O G V i N j h l Y T c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Q U 1 Q Q T M v Q X V 0 b 1 J l b W 9 2 Z W R D b 2 x 1 b W 5 z M S 5 7 R k V D S E E s M H 0 m c X V v d D s s J n F 1 b 3 Q 7 U 2 V j d G l v b j E v U E F N U E E z L 0 F 1 d G 9 S Z W 1 v d m V k Q 2 9 s d W 1 u c z E u e 0 R F U 0 N S S V B D S U 9 O L D F 9 J n F 1 b 3 Q 7 L C Z x d W 9 0 O 1 N l Y 3 R p b 2 4 x L 1 B B T V B B M y 9 B d X R v U m V t b 3 Z l Z E N v b H V t b n M x L n t O I E R F I F J F R k V S R U 5 D S U E s M n 0 m c X V v d D s s J n F 1 b 3 Q 7 U 2 V j d G l v b j E v U E F N U E E z L 0 F 1 d G 9 S Z W 1 v d m V k Q 2 9 s d W 1 u c z E u e 0 V H U k V T T 1 M s M 3 0 m c X V v d D s s J n F 1 b 3 Q 7 U 2 V j d G l v b j E v U E F N U E E z L 0 F 1 d G 9 S Z W 1 v d m V k Q 2 9 s d W 1 u c z E u e 0 l O R 1 J F U 0 9 T L D R 9 J n F 1 b 3 Q 7 L C Z x d W 9 0 O 1 N l Y 3 R p b 2 4 x L 1 B B T V B B M y 9 B d X R v U m V t b 3 Z l Z E N v b H V t b n M x L n t N T 0 5 F R E E s N X 0 m c X V v d D s s J n F 1 b 3 Q 7 U 2 V j d G l v b j E v U E F N U E E z L 0 F 1 d G 9 S Z W 1 v d m V k Q 2 9 s d W 1 u c z E u e 0 N P T k N F U F R P L D Z 9 J n F 1 b 3 Q 7 L C Z x d W 9 0 O 1 N l Y 3 R p b 2 4 x L 1 B B T V B B M y 9 B d X R v U m V t b 3 Z l Z E N v b H V t b n M x L n t E R V R B T E x F U y w 3 f S Z x d W 9 0 O y w m c X V v d D t T Z W N 0 a W 9 u M S 9 Q Q U 1 Q Q T M v Q X V 0 b 1 J l b W 9 2 Z W R D b 2 x 1 b W 5 z M S 5 7 U 0 9 D S U 8 s O H 0 m c X V v d D s s J n F 1 b 3 Q 7 U 2 V j d G l v b j E v U E F N U E E z L 0 F 1 d G 9 S Z W 1 v d m V k Q 2 9 s d W 1 u c z E u e 0 N V R U 5 U Q S w 5 f S Z x d W 9 0 O y w m c X V v d D t T Z W N 0 a W 9 u M S 9 Q Q U 1 Q Q T M v Q X V 0 b 1 J l b W 9 2 Z W R D b 2 x 1 b W 5 z M S 5 7 Q k F O Q 0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Q Q U 1 Q Q T M v Q X V 0 b 1 J l b W 9 2 Z W R D b 2 x 1 b W 5 z M S 5 7 R k V D S E E s M H 0 m c X V v d D s s J n F 1 b 3 Q 7 U 2 V j d G l v b j E v U E F N U E E z L 0 F 1 d G 9 S Z W 1 v d m V k Q 2 9 s d W 1 u c z E u e 0 R F U 0 N S S V B D S U 9 O L D F 9 J n F 1 b 3 Q 7 L C Z x d W 9 0 O 1 N l Y 3 R p b 2 4 x L 1 B B T V B B M y 9 B d X R v U m V t b 3 Z l Z E N v b H V t b n M x L n t O I E R F I F J F R k V S R U 5 D S U E s M n 0 m c X V v d D s s J n F 1 b 3 Q 7 U 2 V j d G l v b j E v U E F N U E E z L 0 F 1 d G 9 S Z W 1 v d m V k Q 2 9 s d W 1 u c z E u e 0 V H U k V T T 1 M s M 3 0 m c X V v d D s s J n F 1 b 3 Q 7 U 2 V j d G l v b j E v U E F N U E E z L 0 F 1 d G 9 S Z W 1 v d m V k Q 2 9 s d W 1 u c z E u e 0 l O R 1 J F U 0 9 T L D R 9 J n F 1 b 3 Q 7 L C Z x d W 9 0 O 1 N l Y 3 R p b 2 4 x L 1 B B T V B B M y 9 B d X R v U m V t b 3 Z l Z E N v b H V t b n M x L n t N T 0 5 F R E E s N X 0 m c X V v d D s s J n F 1 b 3 Q 7 U 2 V j d G l v b j E v U E F N U E E z L 0 F 1 d G 9 S Z W 1 v d m V k Q 2 9 s d W 1 u c z E u e 0 N P T k N F U F R P L D Z 9 J n F 1 b 3 Q 7 L C Z x d W 9 0 O 1 N l Y 3 R p b 2 4 x L 1 B B T V B B M y 9 B d X R v U m V t b 3 Z l Z E N v b H V t b n M x L n t E R V R B T E x F U y w 3 f S Z x d W 9 0 O y w m c X V v d D t T Z W N 0 a W 9 u M S 9 Q Q U 1 Q Q T M v Q X V 0 b 1 J l b W 9 2 Z W R D b 2 x 1 b W 5 z M S 5 7 U 0 9 D S U 8 s O H 0 m c X V v d D s s J n F 1 b 3 Q 7 U 2 V j d G l v b j E v U E F N U E E z L 0 F 1 d G 9 S Z W 1 v d m V k Q 2 9 s d W 1 u c z E u e 0 N V R U 5 U Q S w 5 f S Z x d W 9 0 O y w m c X V v d D t T Z W N 0 a W 9 u M S 9 Q Q U 1 Q Q T M v Q X V 0 b 1 J l b W 9 2 Z W R D b 2 x 1 b W 5 z M S 5 7 Q k F O Q 0 8 s M T B 9 J n F 1 b 3 Q 7 X S w m c X V v d D t S Z W x h d G l v b n N o a X B J b m Z v J n F 1 b 3 Q 7 O l t d f S I g L z 4 8 R W 5 0 c n k g V H l w Z T 0 i R m l s b E x h c 3 R V c G R h d G V k I i B W Y W x 1 Z T 0 i Z D I w M j U t M D Q t M D d U M T E 6 M j Q 6 M z g u N D A z N z A z M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B T V B B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U 1 Q Q T M v U E F N U E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U 1 Q Q T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O Q 0 9 f Q 0 9 O U 0 9 M S U R B R E 8 l M j A o M i k 8 L 0 l 0 Z W 1 Q Y X R o P j w v S X R l b U x v Y 2 F 0 a W 9 u P j x T d G F i b G V F b n R y a W V z P j x F b n R y e S B U e X B l P S J J c 1 B y a X Z h d G U i I F Z h b H V l P S J s M C I g L z 4 8 R W 5 0 c n k g V H l w Z T 0 i R m l s b E x h c 3 R V c G R h d G V k I i B W Y W x 1 Z T 0 i Z D I w M j Q t M D Q t M j Z U M T U 6 M T c 6 M D k u N T I w N T I y N 1 o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G a W x s Q 2 9 s d W 1 u V H l w Z X M i I F Z h b H V l P S J z Q 1 F Z Q U J R V U F B Q U F H Q U F B R 0 J n P T 0 i I C 8 + P E V u d H J 5 I F R 5 c G U 9 I k Z p b G x l Z E N v b X B s Z X R l U m V z d W x 0 V G 9 X b 3 J r c 2 h l Z X Q i I F Z h b H V l P S J s M S I g L z 4 8 R W 5 0 c n k g V H l w Z T 0 i R m l s b F R h c m d l d C I g V m F s d W U 9 I n N C Q U 5 D T 1 9 D T 0 5 T T 0 x J R E F E T z M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F b m F i b G V k I i B W Y W x 1 Z T 0 i b D E i I C 8 + P E V u d H J 5 I F R 5 c G U 9 I k Z p b G x D b 2 x 1 b W 5 O Y W 1 l c y I g V m F s d W U 9 I n N b J n F 1 b 3 Q 7 R k V D S E E m c X V v d D s s J n F 1 b 3 Q 7 R E V T Q 1 J J U E N J T 0 4 m c X V v d D s s J n F 1 b 3 Q 7 T i B E R S B S R U Z F U k V O Q 0 l B J n F 1 b 3 Q 7 L C Z x d W 9 0 O 0 V H U k V T T 1 M m c X V v d D s s J n F 1 b 3 Q 7 S U 5 H U k V T T 1 M m c X V v d D s s J n F 1 b 3 Q 7 T U 9 O R U R B J n F 1 b 3 Q 7 L C Z x d W 9 0 O 0 F D V E l W S U R B R C Z x d W 9 0 O y w m c X V v d D t S V U J S T y Z x d W 9 0 O y w m c X V v d D t D T 0 5 D R V B U T y Z x d W 9 0 O y w m c X V v d D t E R V R B T E x F U y Z x d W 9 0 O y w m c X V v d D t T T 0 N J T y Z x d W 9 0 O y w m c X V v d D t D V U V O V E E m c X V v d D s s J n F 1 b 3 Q 7 Q k F O Q 0 8 m c X V v d D t d I i A v P j x F b n R y e S B U e X B l P S J M b 2 F k Z W R U b 0 F u Y W x 5 c 2 l z U 2 V y d m l j Z X M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T m F 2 a W d h d G l v b l N 0 Z X B O Y W 1 l I i B W Y W x 1 Z T 0 i c 0 5 h d m V n Y W N p w 7 N u I i A v P j x F b n R y e S B U e X B l P S J R d W V y e U l E I i B W Y W x 1 Z T 0 i c z J l N j Y 3 O G I 5 L W Y w M m Y t N G M y N S 0 5 M G N i L W E 3 Y m I x O D Z m Y m Q 4 Z i I g L z 4 8 R W 5 0 c n k g V H l w Z T 0 i Q n V m Z m V y T m V 4 d F J l Z n J l c 2 g i I F Z h b H V l P S J s M S I g L z 4 8 R W 5 0 c n k g V H l w Z T 0 i R m l s b F N 0 Y X R 1 c y I g V m F s d W U 9 I n N X Y W l 0 a W 5 n R m 9 y R X h j Z W x S Z W Z y Z X N o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Q U 5 D T 1 9 D T 0 5 T T 0 x J R E F E T y 9 B d X R v U m V t b 3 Z l Z E N v b H V t b n M x L n t G R U N I Q S w w f S Z x d W 9 0 O y w m c X V v d D t T Z W N 0 a W 9 u M S 9 C Q U 5 D T 1 9 D T 0 5 T T 0 x J R E F E T y 9 B d X R v U m V t b 3 Z l Z E N v b H V t b n M x L n t E R V N D U k l Q Q 0 l P T i w x f S Z x d W 9 0 O y w m c X V v d D t T Z W N 0 a W 9 u M S 9 C Q U 5 D T 1 9 D T 0 5 T T 0 x J R E F E T y 9 B d X R v U m V t b 3 Z l Z E N v b H V t b n M x L n t O I E R F I F J F R k V S R U 5 D S U E s M n 0 m c X V v d D s s J n F 1 b 3 Q 7 U 2 V j d G l v b j E v Q k F O Q 0 9 f Q 0 9 O U 0 9 M S U R B R E 8 v Q X V 0 b 1 J l b W 9 2 Z W R D b 2 x 1 b W 5 z M S 5 7 R U d S R V N P U y w z f S Z x d W 9 0 O y w m c X V v d D t T Z W N 0 a W 9 u M S 9 C Q U 5 D T 1 9 D T 0 5 T T 0 x J R E F E T y 9 B d X R v U m V t b 3 Z l Z E N v b H V t b n M x L n t J T k d S R V N P U y w 0 f S Z x d W 9 0 O y w m c X V v d D t T Z W N 0 a W 9 u M S 9 C Q U 5 D T 1 9 D T 0 5 T T 0 x J R E F E T y 9 B d X R v U m V t b 3 Z l Z E N v b H V t b n M x L n t N T 0 5 F R E E s N X 0 m c X V v d D s s J n F 1 b 3 Q 7 U 2 V j d G l v b j E v Q k F O Q 0 9 f Q 0 9 O U 0 9 M S U R B R E 8 v Q X V 0 b 1 J l b W 9 2 Z W R D b 2 x 1 b W 5 z M S 5 7 Q U N U S V Z J R E F E L D Z 9 J n F 1 b 3 Q 7 L C Z x d W 9 0 O 1 N l Y 3 R p b 2 4 x L 0 J B T k N P X 0 N P T l N P T E l E Q U R P L 0 F 1 d G 9 S Z W 1 v d m V k Q 2 9 s d W 1 u c z E u e 1 J V Q l J P L D d 9 J n F 1 b 3 Q 7 L C Z x d W 9 0 O 1 N l Y 3 R p b 2 4 x L 0 J B T k N P X 0 N P T l N P T E l E Q U R P L 0 F 1 d G 9 S Z W 1 v d m V k Q 2 9 s d W 1 u c z E u e 0 N P T k N F U F R P L D h 9 J n F 1 b 3 Q 7 L C Z x d W 9 0 O 1 N l Y 3 R p b 2 4 x L 0 J B T k N P X 0 N P T l N P T E l E Q U R P L 0 F 1 d G 9 S Z W 1 v d m V k Q 2 9 s d W 1 u c z E u e 0 R F V E F M T E V T L D l 9 J n F 1 b 3 Q 7 L C Z x d W 9 0 O 1 N l Y 3 R p b 2 4 x L 0 J B T k N P X 0 N P T l N P T E l E Q U R P L 0 F 1 d G 9 S Z W 1 v d m V k Q 2 9 s d W 1 u c z E u e 1 N P Q 0 l P L D E w f S Z x d W 9 0 O y w m c X V v d D t T Z W N 0 a W 9 u M S 9 C Q U 5 D T 1 9 D T 0 5 T T 0 x J R E F E T y 9 B d X R v U m V t b 3 Z l Z E N v b H V t b n M x L n t D V U V O V E E s M T F 9 J n F 1 b 3 Q 7 L C Z x d W 9 0 O 1 N l Y 3 R p b 2 4 x L 0 J B T k N P X 0 N P T l N P T E l E Q U R P L 0 F 1 d G 9 S Z W 1 v d m V k Q 2 9 s d W 1 u c z E u e 0 J B T k N P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k F O Q 0 9 f Q 0 9 O U 0 9 M S U R B R E 8 v Q X V 0 b 1 J l b W 9 2 Z W R D b 2 x 1 b W 5 z M S 5 7 R k V D S E E s M H 0 m c X V v d D s s J n F 1 b 3 Q 7 U 2 V j d G l v b j E v Q k F O Q 0 9 f Q 0 9 O U 0 9 M S U R B R E 8 v Q X V 0 b 1 J l b W 9 2 Z W R D b 2 x 1 b W 5 z M S 5 7 R E V T Q 1 J J U E N J T 0 4 s M X 0 m c X V v d D s s J n F 1 b 3 Q 7 U 2 V j d G l v b j E v Q k F O Q 0 9 f Q 0 9 O U 0 9 M S U R B R E 8 v Q X V 0 b 1 J l b W 9 2 Z W R D b 2 x 1 b W 5 z M S 5 7 T i B E R S B S R U Z F U k V O Q 0 l B L D J 9 J n F 1 b 3 Q 7 L C Z x d W 9 0 O 1 N l Y 3 R p b 2 4 x L 0 J B T k N P X 0 N P T l N P T E l E Q U R P L 0 F 1 d G 9 S Z W 1 v d m V k Q 2 9 s d W 1 u c z E u e 0 V H U k V T T 1 M s M 3 0 m c X V v d D s s J n F 1 b 3 Q 7 U 2 V j d G l v b j E v Q k F O Q 0 9 f Q 0 9 O U 0 9 M S U R B R E 8 v Q X V 0 b 1 J l b W 9 2 Z W R D b 2 x 1 b W 5 z M S 5 7 S U 5 H U k V T T 1 M s N H 0 m c X V v d D s s J n F 1 b 3 Q 7 U 2 V j d G l v b j E v Q k F O Q 0 9 f Q 0 9 O U 0 9 M S U R B R E 8 v Q X V 0 b 1 J l b W 9 2 Z W R D b 2 x 1 b W 5 z M S 5 7 T U 9 O R U R B L D V 9 J n F 1 b 3 Q 7 L C Z x d W 9 0 O 1 N l Y 3 R p b 2 4 x L 0 J B T k N P X 0 N P T l N P T E l E Q U R P L 0 F 1 d G 9 S Z W 1 v d m V k Q 2 9 s d W 1 u c z E u e 0 F D V E l W S U R B R C w 2 f S Z x d W 9 0 O y w m c X V v d D t T Z W N 0 a W 9 u M S 9 C Q U 5 D T 1 9 D T 0 5 T T 0 x J R E F E T y 9 B d X R v U m V t b 3 Z l Z E N v b H V t b n M x L n t S V U J S T y w 3 f S Z x d W 9 0 O y w m c X V v d D t T Z W N 0 a W 9 u M S 9 C Q U 5 D T 1 9 D T 0 5 T T 0 x J R E F E T y 9 B d X R v U m V t b 3 Z l Z E N v b H V t b n M x L n t D T 0 5 D R V B U T y w 4 f S Z x d W 9 0 O y w m c X V v d D t T Z W N 0 a W 9 u M S 9 C Q U 5 D T 1 9 D T 0 5 T T 0 x J R E F E T y 9 B d X R v U m V t b 3 Z l Z E N v b H V t b n M x L n t E R V R B T E x F U y w 5 f S Z x d W 9 0 O y w m c X V v d D t T Z W N 0 a W 9 u M S 9 C Q U 5 D T 1 9 D T 0 5 T T 0 x J R E F E T y 9 B d X R v U m V t b 3 Z l Z E N v b H V t b n M x L n t T T 0 N J T y w x M H 0 m c X V v d D s s J n F 1 b 3 Q 7 U 2 V j d G l v b j E v Q k F O Q 0 9 f Q 0 9 O U 0 9 M S U R B R E 8 v Q X V 0 b 1 J l b W 9 2 Z W R D b 2 x 1 b W 5 z M S 5 7 Q 1 V F T l R B L D E x f S Z x d W 9 0 O y w m c X V v d D t T Z W N 0 a W 9 u M S 9 C Q U 5 D T 1 9 D T 0 5 T T 0 x J R E F E T y 9 B d X R v U m V t b 3 Z l Z E N v b H V t b n M x L n t C Q U 5 D T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B T k N P X 0 N P T l N P T E l E Q U R P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T k N P X 0 N P T l N P T E l E Q U R P J T I w K D I p L 0 d B T E l D S U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U 5 D T 1 9 D T 0 5 T T 0 x J R E F E T y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U 5 D T 1 9 D T 0 5 T T 0 x J R E F E T y U y M C g y K S 9 D b 2 5 z d W x 0 Y S U y M G F u Z X h h Z G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X I G 0 p / F l k a G T F W 3 G B f S R w A A A A A C A A A A A A A Q Z g A A A A E A A C A A A A B F c d D u y 3 l E r L a F C A I x x M F l a L m N t R u A C B 9 + S s w / 1 3 9 3 q g A A A A A O g A A A A A I A A C A A A A B x N I A w P m M V N 4 w b b 2 N 5 Y k H J R x R 6 i 1 U n m z U S 9 T U P X 7 e A c V A A A A C 9 T z A Y i u T a C 7 Y 4 6 f o o p 9 v v w p p 8 d V J S O J M X G C g G l j a d W D 6 v G U z o n A n C T C 6 E C l q M S 6 M w U f V h o 9 I 8 b 6 S 0 e k + t x t C q + J N 0 2 6 r 8 2 I 0 e r Q d B S C 7 Y 6 E A A A A B D 0 6 t + W M 4 5 c a N 5 2 G B T H 9 3 d N g L W 9 e h P q / U P J / N j N v n C Y 3 F K J V 9 E B g U 1 V i e Y a c 8 4 + e K x K s W h E T / W + X 5 z X W 6 K 7 u e 8 < / D a t a M a s h u p > 
</file>

<file path=customXml/itemProps1.xml><?xml version="1.0" encoding="utf-8"?>
<ds:datastoreItem xmlns:ds="http://schemas.openxmlformats.org/officeDocument/2006/customXml" ds:itemID="{5D972E70-5E18-4DCC-A993-E1CD9AC2D8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BALANCE</vt:lpstr>
      <vt:lpstr>EPN</vt:lpstr>
      <vt:lpstr>RESUMEN</vt:lpstr>
      <vt:lpstr>RDOS</vt:lpstr>
      <vt:lpstr>MOV</vt:lpstr>
      <vt:lpstr>ACTIVIDADES</vt:lpstr>
      <vt:lpstr>CAPITAL</vt:lpstr>
      <vt:lpstr>LISTA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</dc:creator>
  <cp:keywords/>
  <dc:description/>
  <cp:lastModifiedBy>Kevin Toledo</cp:lastModifiedBy>
  <cp:revision/>
  <cp:lastPrinted>2025-06-24T12:10:49Z</cp:lastPrinted>
  <dcterms:created xsi:type="dcterms:W3CDTF">2023-12-14T13:45:41Z</dcterms:created>
  <dcterms:modified xsi:type="dcterms:W3CDTF">2025-08-02T14:31:39Z</dcterms:modified>
  <cp:category/>
  <cp:contentStatus/>
</cp:coreProperties>
</file>