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codeName="ThisWorkbook"/>
  <xr:revisionPtr revIDLastSave="0" documentId="13_ncr:1_{6CE089AA-F870-416B-ADDD-E1ECDC64B967}" xr6:coauthVersionLast="47" xr6:coauthVersionMax="47" xr10:uidLastSave="{00000000-0000-0000-0000-000000000000}"/>
  <bookViews>
    <workbookView xWindow="-120" yWindow="-120" windowWidth="20730" windowHeight="11160" tabRatio="415" firstSheet="1" activeTab="1" xr2:uid="{00000000-000D-0000-FFFF-FFFF00000000}"/>
  </bookViews>
  <sheets>
    <sheet name="ALARMAS" sheetId="20" r:id="rId1"/>
    <sheet name="Ligero" sheetId="17" r:id="rId2"/>
    <sheet name="GRAFICO" sheetId="21" r:id="rId3"/>
  </sheets>
  <externalReferences>
    <externalReference r:id="rId4"/>
  </externalReferences>
  <definedNames>
    <definedName name="FACTURAS" localSheetId="0">[1]!FACTURA[#Data]</definedName>
    <definedName name="FACTURAS">#REF!</definedName>
    <definedName name="Hoy" localSheetId="1">TODAY()</definedName>
    <definedName name="Incremento_de_desplazamiento" localSheetId="1">Ligero!$E$7</definedName>
    <definedName name="Inicio_del_proyecto" localSheetId="1">Ligero!$E$6</definedName>
    <definedName name="_xlnm.Print_Titles" localSheetId="1">Ligero!$6:$11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1" i="17" l="1"/>
  <c r="E52" i="17"/>
  <c r="E48" i="17"/>
  <c r="L49" i="17"/>
  <c r="D34" i="17"/>
  <c r="L51" i="17"/>
  <c r="C15" i="17"/>
  <c r="L68" i="17"/>
  <c r="L69" i="17"/>
  <c r="L28" i="17"/>
  <c r="L29" i="17"/>
  <c r="L30" i="17"/>
  <c r="L31" i="17"/>
  <c r="D28" i="17"/>
  <c r="E28" i="17"/>
  <c r="D29" i="17"/>
  <c r="E29" i="17"/>
  <c r="D30" i="17"/>
  <c r="E30" i="17"/>
  <c r="D31" i="17"/>
  <c r="E31" i="17"/>
  <c r="D32" i="17"/>
  <c r="E32" i="17"/>
  <c r="L26" i="17"/>
  <c r="L27" i="17"/>
  <c r="E27" i="17"/>
  <c r="E26" i="17"/>
  <c r="D27" i="17"/>
  <c r="D26" i="17"/>
  <c r="L21" i="17"/>
  <c r="L22" i="17"/>
  <c r="L23" i="17"/>
  <c r="L24" i="17"/>
  <c r="L25" i="17"/>
  <c r="E21" i="17"/>
  <c r="E22" i="17"/>
  <c r="E23" i="17"/>
  <c r="E24" i="17"/>
  <c r="E25" i="17"/>
  <c r="D21" i="17"/>
  <c r="D22" i="17"/>
  <c r="D23" i="17"/>
  <c r="D24" i="17"/>
  <c r="D25" i="17"/>
  <c r="B20" i="17"/>
  <c r="D20" i="17" s="1"/>
  <c r="L20" i="17"/>
  <c r="E19" i="17"/>
  <c r="E20" i="17"/>
  <c r="D18" i="17"/>
  <c r="D19" i="17"/>
  <c r="L67" i="17"/>
  <c r="L64" i="17"/>
  <c r="B64" i="17"/>
  <c r="D64" i="17" s="1"/>
  <c r="L70" i="17"/>
  <c r="L53" i="17"/>
  <c r="D53" i="17"/>
  <c r="D52" i="17" l="1"/>
  <c r="L50" i="17"/>
  <c r="B65" i="17"/>
  <c r="B62" i="17" s="1"/>
  <c r="B44" i="17" s="1"/>
  <c r="B36" i="17" s="1"/>
  <c r="B33" i="17" s="1"/>
  <c r="B12" i="17" s="1"/>
  <c r="L19" i="17"/>
  <c r="L35" i="17"/>
  <c r="D35" i="17"/>
  <c r="L66" i="17"/>
  <c r="L63" i="17"/>
  <c r="D63" i="17"/>
  <c r="C65" i="17"/>
  <c r="C62" i="17" s="1"/>
  <c r="L45" i="17"/>
  <c r="L46" i="17"/>
  <c r="L48" i="17"/>
  <c r="L55" i="17"/>
  <c r="L56" i="17"/>
  <c r="L57" i="17"/>
  <c r="L58" i="17"/>
  <c r="L59" i="17"/>
  <c r="L60" i="17"/>
  <c r="L61" i="17"/>
  <c r="D60" i="17"/>
  <c r="D61" i="17"/>
  <c r="L13" i="17"/>
  <c r="E9" i="17"/>
  <c r="M51" i="17" l="1"/>
  <c r="M49" i="17"/>
  <c r="M68" i="17"/>
  <c r="M69" i="17"/>
  <c r="M28" i="17"/>
  <c r="M30" i="17"/>
  <c r="M29" i="17"/>
  <c r="M31" i="17"/>
  <c r="M26" i="17"/>
  <c r="M27" i="17"/>
  <c r="M20" i="17"/>
  <c r="M21" i="17"/>
  <c r="M25" i="17"/>
  <c r="M24" i="17"/>
  <c r="M22" i="17"/>
  <c r="M23" i="17"/>
  <c r="M64" i="17"/>
  <c r="M67" i="17"/>
  <c r="M70" i="17"/>
  <c r="M53" i="17"/>
  <c r="D65" i="17"/>
  <c r="D62" i="17" s="1"/>
  <c r="M50" i="17"/>
  <c r="M19" i="17"/>
  <c r="M35" i="17"/>
  <c r="M66" i="17"/>
  <c r="M63" i="17"/>
  <c r="M37" i="17"/>
  <c r="M61" i="17"/>
  <c r="M60" i="17"/>
  <c r="M59" i="17"/>
  <c r="M58" i="17"/>
  <c r="M57" i="17"/>
  <c r="M56" i="17"/>
  <c r="M55" i="17"/>
  <c r="M48" i="17"/>
  <c r="M46" i="17"/>
  <c r="M45" i="17"/>
  <c r="M17" i="17"/>
  <c r="M16" i="17"/>
  <c r="M18" i="17"/>
  <c r="M15" i="17"/>
  <c r="M14" i="17"/>
  <c r="C36" i="17"/>
  <c r="C33" i="17" s="1"/>
  <c r="E37" i="17"/>
  <c r="D37" i="17"/>
  <c r="E38" i="17"/>
  <c r="E39" i="17"/>
  <c r="E40" i="17"/>
  <c r="E41" i="17"/>
  <c r="E42" i="17"/>
  <c r="E43" i="17"/>
  <c r="D39" i="17"/>
  <c r="D40" i="17"/>
  <c r="D41" i="17"/>
  <c r="D42" i="17"/>
  <c r="D43" i="17"/>
  <c r="D38" i="17"/>
  <c r="L41" i="17"/>
  <c r="L42" i="17"/>
  <c r="L43" i="17"/>
  <c r="L39" i="17"/>
  <c r="L40" i="17"/>
  <c r="L38" i="17"/>
  <c r="C12" i="17"/>
  <c r="E16" i="17"/>
  <c r="E17" i="17"/>
  <c r="E13" i="17"/>
  <c r="D55" i="17"/>
  <c r="D56" i="17"/>
  <c r="D57" i="17"/>
  <c r="D58" i="17"/>
  <c r="D59" i="17"/>
  <c r="D48" i="17"/>
  <c r="D49" i="17"/>
  <c r="D46" i="17"/>
  <c r="D47" i="17"/>
  <c r="D45" i="17"/>
  <c r="D13" i="17"/>
  <c r="D16" i="17"/>
  <c r="D17" i="17"/>
  <c r="L18" i="17"/>
  <c r="L14" i="17"/>
  <c r="L15" i="17"/>
  <c r="L16" i="17"/>
  <c r="L17" i="17"/>
  <c r="D44" i="17" l="1"/>
  <c r="D36" i="17" s="1"/>
  <c r="D33" i="17" s="1"/>
  <c r="D12" i="17" s="1"/>
  <c r="D3" i="20" a="1"/>
  <c r="D3" i="20" s="1"/>
  <c r="E18" i="17"/>
  <c r="A18" i="20" a="1"/>
  <c r="A3" i="20" a="1"/>
  <c r="E36" i="17"/>
  <c r="E33" i="17" s="1"/>
  <c r="E6" i="17" a="1"/>
  <c r="E6" i="17" s="1"/>
  <c r="P7" i="17" s="1"/>
  <c r="E12" i="17" l="1"/>
  <c r="E1" i="20"/>
  <c r="A3" i="20"/>
  <c r="B1" i="20"/>
  <c r="A18" i="20"/>
  <c r="B16" i="20"/>
  <c r="Q7" i="17"/>
  <c r="P11" i="17"/>
  <c r="P33" i="17"/>
  <c r="P44" i="17"/>
  <c r="P16" i="17"/>
  <c r="P17" i="17"/>
  <c r="P12" i="17"/>
  <c r="P14" i="17"/>
  <c r="P6" i="17"/>
  <c r="P13" i="17"/>
  <c r="P15" i="17"/>
  <c r="Q44" i="17" l="1"/>
  <c r="Q15" i="17"/>
  <c r="Q13" i="17"/>
  <c r="R7" i="17"/>
  <c r="Q12" i="17"/>
  <c r="Q33" i="17"/>
  <c r="Q11" i="17"/>
  <c r="Q16" i="17"/>
  <c r="Q14" i="17"/>
  <c r="Q17" i="17"/>
  <c r="R44" i="17" l="1"/>
  <c r="R13" i="17"/>
  <c r="R11" i="17"/>
  <c r="R17" i="17"/>
  <c r="R16" i="17"/>
  <c r="R15" i="17"/>
  <c r="R12" i="17"/>
  <c r="R14" i="17"/>
  <c r="R33" i="17"/>
  <c r="S7" i="17"/>
  <c r="S17" i="17" l="1"/>
  <c r="S15" i="17"/>
  <c r="T7" i="17"/>
  <c r="S12" i="17"/>
  <c r="S14" i="17"/>
  <c r="S44" i="17"/>
  <c r="S13" i="17"/>
  <c r="S11" i="17"/>
  <c r="S16" i="17"/>
  <c r="S33" i="17"/>
  <c r="T16" i="17" l="1"/>
  <c r="T13" i="17"/>
  <c r="T14" i="17"/>
  <c r="T44" i="17"/>
  <c r="T12" i="17"/>
  <c r="T15" i="17"/>
  <c r="T11" i="17"/>
  <c r="T17" i="17"/>
  <c r="U7" i="17"/>
  <c r="T33" i="17"/>
  <c r="U12" i="17" l="1"/>
  <c r="U16" i="17"/>
  <c r="U33" i="17"/>
  <c r="V7" i="17"/>
  <c r="U14" i="17"/>
  <c r="U11" i="17"/>
  <c r="U13" i="17"/>
  <c r="U44" i="17"/>
  <c r="U15" i="17"/>
  <c r="U17" i="17"/>
  <c r="V15" i="17" l="1"/>
  <c r="V11" i="17"/>
  <c r="V17" i="17"/>
  <c r="V14" i="17"/>
  <c r="V12" i="17"/>
  <c r="V33" i="17"/>
  <c r="V44" i="17"/>
  <c r="V16" i="17"/>
  <c r="W7" i="17"/>
  <c r="V13" i="17"/>
  <c r="W33" i="17" l="1"/>
  <c r="W13" i="17"/>
  <c r="W14" i="17"/>
  <c r="W17" i="17"/>
  <c r="W6" i="17"/>
  <c r="W11" i="17"/>
  <c r="W44" i="17"/>
  <c r="W12" i="17"/>
  <c r="X7" i="17"/>
  <c r="W15" i="17"/>
  <c r="W16" i="17"/>
  <c r="X13" i="17" l="1"/>
  <c r="X14" i="17"/>
  <c r="X15" i="17"/>
  <c r="X12" i="17"/>
  <c r="X16" i="17"/>
  <c r="X11" i="17"/>
  <c r="X17" i="17"/>
  <c r="X44" i="17"/>
  <c r="X33" i="17"/>
  <c r="Y7" i="17"/>
  <c r="Y16" i="17" l="1"/>
  <c r="Y14" i="17"/>
  <c r="Z7" i="17"/>
  <c r="Y13" i="17"/>
  <c r="Y44" i="17"/>
  <c r="Y11" i="17"/>
  <c r="Y17" i="17"/>
  <c r="Y15" i="17"/>
  <c r="Y12" i="17"/>
  <c r="Y33" i="17"/>
  <c r="Z15" i="17" l="1"/>
  <c r="AA7" i="17"/>
  <c r="Z14" i="17"/>
  <c r="Z13" i="17"/>
  <c r="Z11" i="17"/>
  <c r="Z12" i="17"/>
  <c r="Z17" i="17"/>
  <c r="Z44" i="17"/>
  <c r="Z16" i="17"/>
  <c r="Z33" i="17"/>
  <c r="AA13" i="17" l="1"/>
  <c r="AA12" i="17"/>
  <c r="AA33" i="17"/>
  <c r="AA44" i="17"/>
  <c r="AA15" i="17"/>
  <c r="AA16" i="17"/>
  <c r="AB7" i="17"/>
  <c r="AA11" i="17"/>
  <c r="AA14" i="17"/>
  <c r="AA17" i="17"/>
  <c r="AB12" i="17" l="1"/>
  <c r="AB14" i="17"/>
  <c r="AB13" i="17"/>
  <c r="AB44" i="17"/>
  <c r="AC7" i="17"/>
  <c r="AB16" i="17"/>
  <c r="AB17" i="17"/>
  <c r="AB11" i="17"/>
  <c r="AB33" i="17"/>
  <c r="AB15" i="17"/>
  <c r="AC17" i="17" l="1"/>
  <c r="AC44" i="17"/>
  <c r="AD7" i="17"/>
  <c r="AC12" i="17"/>
  <c r="AC33" i="17"/>
  <c r="AC16" i="17"/>
  <c r="AC11" i="17"/>
  <c r="AC15" i="17"/>
  <c r="AC13" i="17"/>
  <c r="AC14" i="17"/>
  <c r="AD44" i="17" l="1"/>
  <c r="AD17" i="17"/>
  <c r="AD12" i="17"/>
  <c r="AD6" i="17"/>
  <c r="AD33" i="17"/>
  <c r="AE7" i="17"/>
  <c r="AD15" i="17"/>
  <c r="AD11" i="17"/>
  <c r="AD16" i="17"/>
  <c r="AD14" i="17"/>
  <c r="AD13" i="17"/>
  <c r="AE33" i="17" l="1"/>
  <c r="AF7" i="17"/>
  <c r="AE12" i="17"/>
  <c r="AE13" i="17"/>
  <c r="AE16" i="17"/>
  <c r="AE17" i="17"/>
  <c r="AE14" i="17"/>
  <c r="AE11" i="17"/>
  <c r="AE44" i="17"/>
  <c r="AE15" i="17"/>
  <c r="AF12" i="17" l="1"/>
  <c r="AF16" i="17"/>
  <c r="AF33" i="17"/>
  <c r="AF17" i="17"/>
  <c r="AF11" i="17"/>
  <c r="AG7" i="17"/>
  <c r="AF44" i="17"/>
  <c r="AF14" i="17"/>
  <c r="AF15" i="17"/>
  <c r="AF13" i="17"/>
  <c r="AG14" i="17" l="1"/>
  <c r="AG44" i="17"/>
  <c r="AG15" i="17"/>
  <c r="AH7" i="17"/>
  <c r="AG12" i="17"/>
  <c r="AG16" i="17"/>
  <c r="AG11" i="17"/>
  <c r="AG13" i="17"/>
  <c r="AG17" i="17"/>
  <c r="AG33" i="17"/>
  <c r="AH12" i="17" l="1"/>
  <c r="AH16" i="17"/>
  <c r="AH11" i="17"/>
  <c r="AH17" i="17"/>
  <c r="AI7" i="17"/>
  <c r="AH44" i="17"/>
  <c r="AH15" i="17"/>
  <c r="AH13" i="17"/>
  <c r="AH14" i="17"/>
  <c r="AH33" i="17"/>
  <c r="AI13" i="17" l="1"/>
  <c r="AI33" i="17"/>
  <c r="AI14" i="17"/>
  <c r="AI12" i="17"/>
  <c r="AI16" i="17"/>
  <c r="AI17" i="17"/>
  <c r="AI44" i="17"/>
  <c r="AI11" i="17"/>
  <c r="AI15" i="17"/>
  <c r="AJ7" i="17"/>
  <c r="AJ44" i="17" l="1"/>
  <c r="AJ33" i="17"/>
  <c r="AJ12" i="17"/>
  <c r="AJ11" i="17"/>
  <c r="AJ14" i="17"/>
  <c r="AJ15" i="17"/>
  <c r="AJ13" i="17"/>
  <c r="AJ16" i="17"/>
  <c r="AK7" i="17"/>
  <c r="AJ17" i="17"/>
  <c r="AK11" i="17" l="1"/>
  <c r="AK6" i="17"/>
  <c r="AK16" i="17"/>
  <c r="AL7" i="17"/>
  <c r="AK13" i="17"/>
  <c r="AK12" i="17"/>
  <c r="AK17" i="17"/>
  <c r="AK15" i="17"/>
  <c r="AK33" i="17"/>
  <c r="AK14" i="17"/>
  <c r="AK44" i="17"/>
  <c r="AL17" i="17" l="1"/>
  <c r="AL13" i="17"/>
  <c r="AM7" i="17"/>
  <c r="AL15" i="17"/>
  <c r="AL14" i="17"/>
  <c r="AL44" i="17"/>
  <c r="AL33" i="17"/>
  <c r="AL11" i="17"/>
  <c r="AL12" i="17"/>
  <c r="AL16" i="17"/>
  <c r="AM14" i="17" l="1"/>
  <c r="AM33" i="17"/>
  <c r="AM11" i="17"/>
  <c r="AM12" i="17"/>
  <c r="AM16" i="17"/>
  <c r="AM44" i="17"/>
  <c r="AM13" i="17"/>
  <c r="AM17" i="17"/>
  <c r="AM15" i="17"/>
  <c r="AN7" i="17"/>
  <c r="AN16" i="17" l="1"/>
  <c r="AN11" i="17"/>
  <c r="AN17" i="17"/>
  <c r="AN14" i="17"/>
  <c r="AN44" i="17"/>
  <c r="AN13" i="17"/>
  <c r="AN33" i="17"/>
  <c r="AO7" i="17"/>
  <c r="AN12" i="17"/>
  <c r="AN15" i="17"/>
  <c r="AO33" i="17" l="1"/>
  <c r="AO14" i="17"/>
  <c r="AP7" i="17"/>
  <c r="AO44" i="17"/>
  <c r="AO12" i="17"/>
  <c r="AO16" i="17"/>
  <c r="AO13" i="17"/>
  <c r="AO11" i="17"/>
  <c r="AO15" i="17"/>
  <c r="AO17" i="17"/>
  <c r="AP15" i="17" l="1"/>
  <c r="AP16" i="17"/>
  <c r="AP11" i="17"/>
  <c r="AP33" i="17"/>
  <c r="AP13" i="17"/>
  <c r="AP14" i="17"/>
  <c r="AQ7" i="17"/>
  <c r="AP44" i="17"/>
  <c r="AP12" i="17"/>
  <c r="AP17" i="17"/>
  <c r="AQ17" i="17" l="1"/>
  <c r="AQ44" i="17"/>
  <c r="AQ14" i="17"/>
  <c r="AQ13" i="17"/>
  <c r="AR7" i="17"/>
  <c r="AQ12" i="17"/>
  <c r="AQ33" i="17"/>
  <c r="AQ11" i="17"/>
  <c r="AQ15" i="17"/>
  <c r="AQ16" i="17"/>
  <c r="AR17" i="17" l="1"/>
  <c r="AR12" i="17"/>
  <c r="AR11" i="17"/>
  <c r="AR6" i="17"/>
  <c r="AR33" i="17"/>
  <c r="AR13" i="17"/>
  <c r="AR14" i="17"/>
  <c r="AR15" i="17"/>
  <c r="AS7" i="17"/>
  <c r="AR16" i="17"/>
  <c r="AR44" i="17"/>
  <c r="AS17" i="17" l="1"/>
  <c r="AS44" i="17"/>
  <c r="AS11" i="17"/>
  <c r="AT7" i="17"/>
  <c r="AS13" i="17"/>
  <c r="AS15" i="17"/>
  <c r="AS33" i="17"/>
  <c r="AS12" i="17"/>
  <c r="AS16" i="17"/>
  <c r="AS14" i="17"/>
  <c r="AT15" i="17" l="1"/>
  <c r="AT16" i="17"/>
  <c r="AT13" i="17"/>
  <c r="AT14" i="17"/>
  <c r="AT44" i="17"/>
  <c r="AT17" i="17"/>
  <c r="AT11" i="17"/>
  <c r="AU7" i="17"/>
  <c r="AT12" i="17"/>
  <c r="AT33" i="17"/>
  <c r="AU11" i="17" l="1"/>
  <c r="AU44" i="17"/>
  <c r="AU33" i="17"/>
  <c r="AU15" i="17"/>
  <c r="AV7" i="17"/>
  <c r="AU12" i="17"/>
  <c r="AU17" i="17"/>
  <c r="AU13" i="17"/>
  <c r="AU14" i="17"/>
  <c r="AU16" i="17"/>
  <c r="AV12" i="17" l="1"/>
  <c r="AV13" i="17"/>
  <c r="AV14" i="17"/>
  <c r="AV16" i="17"/>
  <c r="AV44" i="17"/>
  <c r="AV11" i="17"/>
  <c r="AV33" i="17"/>
  <c r="AV17" i="17"/>
  <c r="AW7" i="17"/>
  <c r="AV15" i="17"/>
  <c r="AW11" i="17" l="1"/>
  <c r="AW16" i="17"/>
  <c r="AW13" i="17"/>
  <c r="AW15" i="17"/>
  <c r="AW14" i="17"/>
  <c r="AX7" i="17"/>
  <c r="AW17" i="17"/>
  <c r="AW44" i="17"/>
  <c r="AW12" i="17"/>
  <c r="AW33" i="17"/>
  <c r="AY7" i="17" l="1"/>
  <c r="AX16" i="17"/>
  <c r="AX17" i="17"/>
  <c r="AX11" i="17"/>
  <c r="AX33" i="17"/>
  <c r="AX14" i="17"/>
  <c r="AX12" i="17"/>
  <c r="AX15" i="17"/>
  <c r="AX44" i="17"/>
  <c r="AX13" i="17"/>
  <c r="AY44" i="17" l="1"/>
  <c r="AY14" i="17"/>
  <c r="AY17" i="17"/>
  <c r="AZ7" i="17"/>
  <c r="AY13" i="17"/>
  <c r="AY12" i="17"/>
  <c r="AY6" i="17"/>
  <c r="AY33" i="17"/>
  <c r="AY16" i="17"/>
  <c r="AY11" i="17"/>
  <c r="AY15" i="17"/>
  <c r="AZ13" i="17" l="1"/>
  <c r="AZ17" i="17"/>
  <c r="AZ11" i="17"/>
  <c r="AZ14" i="17"/>
  <c r="AZ12" i="17"/>
  <c r="AZ16" i="17"/>
  <c r="BA7" i="17"/>
  <c r="AZ33" i="17"/>
  <c r="AZ15" i="17"/>
  <c r="AZ44" i="17"/>
  <c r="BB7" i="17" l="1"/>
  <c r="BA17" i="17"/>
  <c r="BA15" i="17"/>
  <c r="BA14" i="17"/>
  <c r="BA13" i="17"/>
  <c r="BA44" i="17"/>
  <c r="BA11" i="17"/>
  <c r="BA12" i="17"/>
  <c r="BA16" i="17"/>
  <c r="BA33" i="17"/>
  <c r="BB15" i="17" l="1"/>
  <c r="BB11" i="17"/>
  <c r="BB16" i="17"/>
  <c r="BB33" i="17"/>
  <c r="BB17" i="17"/>
  <c r="BC7" i="17"/>
  <c r="BB12" i="17"/>
  <c r="BB14" i="17"/>
  <c r="BB44" i="17"/>
  <c r="BB13" i="17"/>
  <c r="BC14" i="17" l="1"/>
  <c r="BC15" i="17"/>
  <c r="BC33" i="17"/>
  <c r="BC13" i="17"/>
  <c r="BC17" i="17"/>
  <c r="BC44" i="17"/>
  <c r="BC12" i="17"/>
  <c r="BC11" i="17"/>
  <c r="BD7" i="17"/>
  <c r="BC16" i="17"/>
  <c r="BE7" i="17" l="1"/>
  <c r="BD12" i="17"/>
  <c r="BD13" i="17"/>
  <c r="BD15" i="17"/>
  <c r="BD16" i="17"/>
  <c r="BD17" i="17"/>
  <c r="BD14" i="17"/>
  <c r="BD11" i="17"/>
  <c r="BD33" i="17"/>
  <c r="BD44" i="17"/>
  <c r="BE14" i="17" l="1"/>
  <c r="BE12" i="17"/>
  <c r="BE11" i="17"/>
  <c r="BE16" i="17"/>
  <c r="BE15" i="17"/>
  <c r="BE17" i="17"/>
  <c r="BF7" i="17"/>
  <c r="BE33" i="17"/>
  <c r="BE13" i="17"/>
  <c r="BE44" i="17"/>
  <c r="BF15" i="17" l="1"/>
  <c r="BF11" i="17"/>
  <c r="BF16" i="17"/>
  <c r="BF33" i="17"/>
  <c r="BG7" i="17"/>
  <c r="BF14" i="17"/>
  <c r="BF13" i="17"/>
  <c r="BF6" i="17"/>
  <c r="BF44" i="17"/>
  <c r="BF12" i="17"/>
  <c r="BF17" i="17"/>
  <c r="BG15" i="17" l="1"/>
  <c r="BH7" i="17"/>
  <c r="BG16" i="17"/>
  <c r="BG11" i="17"/>
  <c r="BG44" i="17"/>
  <c r="BG14" i="17"/>
  <c r="BG17" i="17"/>
  <c r="BG13" i="17"/>
  <c r="BG33" i="17"/>
  <c r="BG12" i="17"/>
  <c r="BH44" i="17" l="1"/>
  <c r="BH13" i="17"/>
  <c r="BH12" i="17"/>
  <c r="BH33" i="17"/>
  <c r="BI7" i="17"/>
  <c r="BH16" i="17"/>
  <c r="BH17" i="17"/>
  <c r="BH11" i="17"/>
  <c r="BH14" i="17"/>
  <c r="BH15" i="17"/>
  <c r="BI16" i="17" l="1"/>
  <c r="BI13" i="17"/>
  <c r="BJ7" i="17"/>
  <c r="BI44" i="17"/>
  <c r="BI12" i="17"/>
  <c r="BI14" i="17"/>
  <c r="BI17" i="17"/>
  <c r="BI11" i="17"/>
  <c r="BI15" i="17"/>
  <c r="BI33" i="17"/>
  <c r="BJ12" i="17" l="1"/>
  <c r="BJ44" i="17"/>
  <c r="BJ33" i="17"/>
  <c r="BJ11" i="17"/>
  <c r="BK7" i="17"/>
  <c r="BJ16" i="17"/>
  <c r="BJ15" i="17"/>
  <c r="BJ13" i="17"/>
  <c r="BJ14" i="17"/>
  <c r="BJ17" i="17"/>
  <c r="BK13" i="17" l="1"/>
  <c r="BK12" i="17"/>
  <c r="BK14" i="17"/>
  <c r="BK16" i="17"/>
  <c r="BK17" i="17"/>
  <c r="BK33" i="17"/>
  <c r="BK44" i="17"/>
  <c r="BK15" i="17"/>
  <c r="BK11" i="17"/>
  <c r="BL7" i="17"/>
  <c r="BL14" i="17" l="1"/>
  <c r="BL15" i="17"/>
  <c r="BL16" i="17"/>
  <c r="BL11" i="17"/>
  <c r="BL17" i="17"/>
  <c r="BL44" i="17"/>
  <c r="BL33" i="17"/>
  <c r="BM7" i="17"/>
  <c r="BL12" i="17"/>
  <c r="BL13" i="17"/>
  <c r="BM44" i="17" l="1"/>
  <c r="BM6" i="17"/>
  <c r="BM17" i="17"/>
  <c r="BM33" i="17"/>
  <c r="BN7" i="17"/>
  <c r="BM16" i="17"/>
  <c r="BM15" i="17"/>
  <c r="BM12" i="17"/>
  <c r="BM11" i="17"/>
  <c r="BM13" i="17"/>
  <c r="BM14" i="17"/>
  <c r="BN12" i="17" l="1"/>
  <c r="BN44" i="17"/>
  <c r="BN14" i="17"/>
  <c r="BN15" i="17"/>
  <c r="BN13" i="17"/>
  <c r="BN17" i="17"/>
  <c r="BN11" i="17"/>
  <c r="BO7" i="17"/>
  <c r="BN16" i="17"/>
  <c r="BN33" i="17"/>
  <c r="BP7" i="17" l="1"/>
  <c r="BO12" i="17"/>
  <c r="BO17" i="17"/>
  <c r="BO14" i="17"/>
  <c r="BO44" i="17"/>
  <c r="BO13" i="17"/>
  <c r="BO11" i="17"/>
  <c r="BO15" i="17"/>
  <c r="BO16" i="17"/>
  <c r="BO33" i="17"/>
  <c r="BP16" i="17" l="1"/>
  <c r="BP12" i="17"/>
  <c r="BP33" i="17"/>
  <c r="BP11" i="17"/>
  <c r="BP44" i="17"/>
  <c r="BQ7" i="17"/>
  <c r="BP13" i="17"/>
  <c r="BP17" i="17"/>
  <c r="BP15" i="17"/>
  <c r="BP14" i="17"/>
  <c r="BQ11" i="17" l="1"/>
  <c r="BQ13" i="17"/>
  <c r="BQ17" i="17"/>
  <c r="BQ44" i="17"/>
  <c r="BQ12" i="17"/>
  <c r="BQ16" i="17"/>
  <c r="BQ33" i="17"/>
  <c r="BR7" i="17"/>
  <c r="BQ15" i="17"/>
  <c r="BQ14" i="17"/>
  <c r="BR13" i="17" l="1"/>
  <c r="BR44" i="17"/>
  <c r="BS7" i="17"/>
  <c r="BR12" i="17"/>
  <c r="BR17" i="17"/>
  <c r="BR11" i="17"/>
  <c r="BR16" i="17"/>
  <c r="BR15" i="17"/>
  <c r="BR33" i="17"/>
  <c r="BR14" i="17"/>
  <c r="BS14" i="17" l="1"/>
  <c r="BS44" i="17"/>
  <c r="BS33" i="17"/>
  <c r="BS13" i="17"/>
  <c r="BS12" i="17"/>
  <c r="BS17" i="17"/>
  <c r="BS16" i="17"/>
  <c r="BS11" i="17"/>
  <c r="BS15" i="17"/>
  <c r="D17" i="20" a="1"/>
  <c r="F16" i="20" s="1"/>
  <c r="E16" i="20" l="1"/>
  <c r="D17"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K14" authorId="0" shapeId="0" xr:uid="{FE1AB731-422B-416C-8AF6-E29EF67A85FC}">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PUEDE PASAR AL 30/7
</t>
        </r>
      </text>
    </comment>
    <comment ref="A20" authorId="0" shapeId="0" xr:uid="{5DDD563E-79EA-4196-93A5-ECBADD073869}">
      <text>
        <r>
          <rPr>
            <b/>
            <sz val="9"/>
            <color indexed="81"/>
            <rFont val="Tahoma"/>
            <family val="2"/>
          </rPr>
          <t>Autor:</t>
        </r>
        <r>
          <rPr>
            <sz val="9"/>
            <color indexed="81"/>
            <rFont val="Tahoma"/>
            <family val="2"/>
          </rPr>
          <t xml:space="preserve">
AMORTIZACION MENSUAL PR 6 MESES-  VTO 25/04 CUOTA 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<sst xmlns="http://schemas.openxmlformats.org/spreadsheetml/2006/main" count="244" uniqueCount="104">
  <si>
    <t>COMPROMISOS PROXIMOS A VENCER (15 DIAS)</t>
  </si>
  <si>
    <t>COMPROMISOS VENCIDOS</t>
  </si>
  <si>
    <t>COMPROMISOS PROXIMOS A VENCER (30 DIAS)</t>
  </si>
  <si>
    <t>COMPROMISOS MAYORES A 30 DIAS</t>
  </si>
  <si>
    <t>COMPROMISOS 2025</t>
  </si>
  <si>
    <t>Nombre de la empresa</t>
  </si>
  <si>
    <t>G&amp;E SA</t>
  </si>
  <si>
    <t>Leyenda:</t>
  </si>
  <si>
    <t>Según lo previsto</t>
  </si>
  <si>
    <t>Riesgo bajo</t>
  </si>
  <si>
    <t>Riesgo medio</t>
  </si>
  <si>
    <t>Riesgo alto</t>
  </si>
  <si>
    <t>Sin asignar</t>
  </si>
  <si>
    <t>Responsable del proyecto</t>
  </si>
  <si>
    <t>Fecha de inicio del proyecto:</t>
  </si>
  <si>
    <t>Incremento de desplazamiento:</t>
  </si>
  <si>
    <t>Tipo de cambio DIVISA COMPRADOR a la fecha</t>
  </si>
  <si>
    <t>FECHA DE HOY</t>
  </si>
  <si>
    <t>Descripción del hito</t>
  </si>
  <si>
    <t>MONTO INICIAL</t>
  </si>
  <si>
    <t>A DEVOLVER</t>
  </si>
  <si>
    <t>MONTO INICIAL EN USD</t>
  </si>
  <si>
    <t>MONTO A DEVOLVER EN USD</t>
  </si>
  <si>
    <t>CATEGORIA</t>
  </si>
  <si>
    <t>ASIGNADO A</t>
  </si>
  <si>
    <t>TASA INTERES</t>
  </si>
  <si>
    <t>COMISION</t>
  </si>
  <si>
    <t>FECHA INICIAL</t>
  </si>
  <si>
    <t>FECHA FINAL</t>
  </si>
  <si>
    <t>DIAS</t>
  </si>
  <si>
    <t>DIAS PARA VENCIMIENTO</t>
  </si>
  <si>
    <t>ESTADO</t>
  </si>
  <si>
    <t>FINANZAS</t>
  </si>
  <si>
    <t>CREDITO GALICIA</t>
  </si>
  <si>
    <t>CREDITOS</t>
  </si>
  <si>
    <t>PAGADO</t>
  </si>
  <si>
    <t>CREDITO MACRO FW 120tn 3,5% $300</t>
  </si>
  <si>
    <t>PENDIENTE</t>
  </si>
  <si>
    <t>CREDITO MACRO FW 90tn 3,5% $295</t>
  </si>
  <si>
    <t>CREDITO NACION</t>
  </si>
  <si>
    <r>
      <t xml:space="preserve">CREDITO </t>
    </r>
    <r>
      <rPr>
        <b/>
        <sz val="10"/>
        <rFont val="Calibri"/>
        <family val="2"/>
      </rPr>
      <t>TARJETA AGRONACION</t>
    </r>
  </si>
  <si>
    <t>CREDITO MACRO SIN SOJA</t>
  </si>
  <si>
    <t>CREDITO MACRO</t>
  </si>
  <si>
    <t>CREDITO PAMPA cuota 1</t>
  </si>
  <si>
    <t>CREDITO PAMPA cuota 2</t>
  </si>
  <si>
    <t>CREDITO PAMPA cuota 3</t>
  </si>
  <si>
    <t>CREDITO PAMPA cuota 4</t>
  </si>
  <si>
    <t>CREDITO PAMPA cuota 5</t>
  </si>
  <si>
    <t>CREDITO PAMPA cuota 6</t>
  </si>
  <si>
    <t>CREDITO GALICIA 1</t>
  </si>
  <si>
    <t>CREDITO GALICIA 2</t>
  </si>
  <si>
    <t>ACUERDO MACRO 1</t>
  </si>
  <si>
    <t>ACUERDO MACRO 2</t>
  </si>
  <si>
    <t>ACUERDO GALICIA</t>
  </si>
  <si>
    <t>ACUERDO PAMPA</t>
  </si>
  <si>
    <t>ACUERDO NACION</t>
  </si>
  <si>
    <t>GANADERIA</t>
  </si>
  <si>
    <t>COMPRA DE HACIENDA 68 TERN</t>
  </si>
  <si>
    <t>COMPRA</t>
  </si>
  <si>
    <t>CENTRO GANADEROS</t>
  </si>
  <si>
    <t>TASAS</t>
  </si>
  <si>
    <t>CUENTAS A PAGAR 2024</t>
  </si>
  <si>
    <t>CHEQUES DICIEMBRE</t>
  </si>
  <si>
    <t>PROVEEDORES</t>
  </si>
  <si>
    <t>RENTAS PLAN DE PAGO CUOTA 1</t>
  </si>
  <si>
    <t>RENTAS</t>
  </si>
  <si>
    <t>RENTAS PLAN DE PAGO CUOTA 2</t>
  </si>
  <si>
    <t>RENTAS PLAN DE PAGO CUOTA 3</t>
  </si>
  <si>
    <t>RENTAS PLAN DE PAGO CUOTA 4</t>
  </si>
  <si>
    <t>RENTAS PLAN DE PAGO CUOTA 5</t>
  </si>
  <si>
    <t>RENTAS PLAN DE PAGO CUOTA 6</t>
  </si>
  <si>
    <t>CUENTAS A PAGAR 2025</t>
  </si>
  <si>
    <t>TODO CAMPO INSUMOS</t>
  </si>
  <si>
    <t>INSUMOS</t>
  </si>
  <si>
    <t>KWS</t>
  </si>
  <si>
    <t>SEMILLAS</t>
  </si>
  <si>
    <t>LOS GROBOS</t>
  </si>
  <si>
    <t>ACA</t>
  </si>
  <si>
    <t>AGRONASAJA</t>
  </si>
  <si>
    <t>EL JAQUE</t>
  </si>
  <si>
    <t>PARCIAL</t>
  </si>
  <si>
    <t>COTAGRO</t>
  </si>
  <si>
    <t>BAYER/MONSANTO</t>
  </si>
  <si>
    <t>CHEQUES ENERO</t>
  </si>
  <si>
    <t>CHEQUES FEBRERO</t>
  </si>
  <si>
    <t>CHEQUES MARZO</t>
  </si>
  <si>
    <t>CHEQUES ABRIL</t>
  </si>
  <si>
    <t>CHEQUES MAYO</t>
  </si>
  <si>
    <t>CHEQUES JUNIO</t>
  </si>
  <si>
    <t>CHEQUE JULIO</t>
  </si>
  <si>
    <t>PROVEEDORES A PAGAR 2025</t>
  </si>
  <si>
    <t>TARQUINO</t>
  </si>
  <si>
    <t>DIESEL LANGE</t>
  </si>
  <si>
    <t>OTRAS CUENTAS A PAGAR 2025</t>
  </si>
  <si>
    <t>SEGURO SOJA</t>
  </si>
  <si>
    <t>SEGUROS</t>
  </si>
  <si>
    <t>F931 FEBRERO</t>
  </si>
  <si>
    <t>SEG SOCIAL</t>
  </si>
  <si>
    <t>VENCIDO</t>
  </si>
  <si>
    <t>F931 MARZO</t>
  </si>
  <si>
    <t>F931 ABRIL</t>
  </si>
  <si>
    <t>CONTADORA VICENTIN</t>
  </si>
  <si>
    <t>HONORARIOS</t>
  </si>
  <si>
    <t>Para agregar más datos, inserte filas nuevas ENCIMA de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</si>
</sst>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 #,##0.00;[Red]\-&quot;$&quot;\ #,##0.00"/>
    <numFmt numFmtId="44" formatCode="_-&quot;$&quot;\ * #,##0.00_-;\-&quot;$&quot;\ * #,##0.00_-;_-&quot;$&quot;\ * &quot;-&quot;??_-;_-@_-"/>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 numFmtId="169" formatCode="_-[$USD]\ * #,##0.00_-;\-[$USD]\ * #,##0.00_-;_-[$USD]\ * &quot;-&quot;??_-;_-@_-"/>
    <numFmt numFmtId="170" formatCode="_-[$$-409]* #,##0.00_ ;_-[$$-409]* \-#,##0.00\ ;_-[$$-409]* &quot;-&quot;??_ ;_-@_ "/>
  </numFmts>
  <fonts count="5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16"/>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0"/>
      <name val="Calibri"/>
      <family val="2"/>
      <scheme val="minor"/>
    </font>
    <font>
      <b/>
      <sz val="11"/>
      <name val="Calibri"/>
      <family val="2"/>
      <scheme val="major"/>
    </font>
    <font>
      <b/>
      <sz val="16"/>
      <name val="Calibri"/>
      <family val="2"/>
      <scheme val="major"/>
    </font>
    <font>
      <sz val="24"/>
      <color theme="0"/>
      <name val="Calibri"/>
      <family val="2"/>
      <scheme val="minor"/>
    </font>
    <font>
      <b/>
      <sz val="14"/>
      <name val="Calibri"/>
      <family val="2"/>
      <scheme val="minor"/>
    </font>
    <font>
      <b/>
      <sz val="20"/>
      <name val="Calibri"/>
      <family val="2"/>
      <scheme val="minor"/>
    </font>
    <font>
      <sz val="20"/>
      <color theme="0"/>
      <name val="Calibri"/>
      <family val="2"/>
      <scheme val="minor"/>
    </font>
    <font>
      <sz val="20"/>
      <name val="Calibri"/>
      <family val="2"/>
      <scheme val="minor"/>
    </font>
    <font>
      <sz val="12"/>
      <color theme="0"/>
      <name val="Calibri"/>
      <family val="2"/>
      <scheme val="minor"/>
    </font>
    <font>
      <sz val="12"/>
      <color theme="1"/>
      <name val="Calibri"/>
      <family val="2"/>
      <scheme val="minor"/>
    </font>
    <font>
      <b/>
      <sz val="18"/>
      <name val="Calibri"/>
      <family val="2"/>
      <scheme val="minor"/>
    </font>
    <font>
      <sz val="18"/>
      <name val="Calibri"/>
      <family val="2"/>
      <scheme val="minor"/>
    </font>
    <font>
      <sz val="18"/>
      <color theme="0"/>
      <name val="Calibri"/>
      <family val="2"/>
      <scheme val="minor"/>
    </font>
    <font>
      <sz val="18"/>
      <color theme="1"/>
      <name val="Calibri"/>
      <family val="2"/>
      <scheme val="minor"/>
    </font>
    <font>
      <b/>
      <sz val="24"/>
      <name val="Calibri"/>
      <family val="2"/>
      <scheme val="minor"/>
    </font>
    <font>
      <sz val="24"/>
      <name val="Calibri"/>
      <family val="2"/>
      <scheme val="minor"/>
    </font>
    <font>
      <b/>
      <sz val="10"/>
      <color rgb="FFFF0000"/>
      <name val="Calibri"/>
      <family val="2"/>
      <scheme val="minor"/>
    </font>
    <font>
      <sz val="10"/>
      <color theme="1"/>
      <name val="Calibri"/>
      <family val="2"/>
      <scheme val="minor"/>
    </font>
    <font>
      <sz val="10"/>
      <color rgb="FFFF0000"/>
      <name val="Calibri"/>
      <family val="2"/>
      <scheme val="minor"/>
    </font>
    <font>
      <b/>
      <sz val="10"/>
      <color theme="1" tint="0.499984740745262"/>
      <name val="Calibri"/>
      <family val="2"/>
      <scheme val="minor"/>
    </font>
    <font>
      <sz val="10"/>
      <color theme="0"/>
      <name val="Calibri"/>
      <family val="2"/>
      <scheme val="minor"/>
    </font>
    <font>
      <sz val="10"/>
      <color theme="1" tint="0.499984740745262"/>
      <name val="Calibri"/>
      <family val="2"/>
      <scheme val="minor"/>
    </font>
    <font>
      <sz val="9"/>
      <color indexed="81"/>
      <name val="Tahoma"/>
      <family val="2"/>
    </font>
    <font>
      <b/>
      <sz val="9"/>
      <color indexed="81"/>
      <name val="Tahoma"/>
      <family val="2"/>
    </font>
    <font>
      <u/>
      <sz val="11"/>
      <name val="Arial"/>
      <family val="2"/>
    </font>
    <font>
      <sz val="10"/>
      <name val="Calibri"/>
      <family val="2"/>
    </font>
    <font>
      <b/>
      <sz val="10"/>
      <name val="Calibri"/>
      <family val="2"/>
    </font>
    <font>
      <u/>
      <sz val="11"/>
      <color rgb="FFEE0000"/>
      <name val="Arial"/>
      <family val="2"/>
    </font>
    <font>
      <sz val="10"/>
      <color rgb="FFEE0000"/>
      <name val="Calibri"/>
      <family val="2"/>
      <scheme val="minor"/>
    </font>
    <font>
      <b/>
      <sz val="10"/>
      <color rgb="FFEE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6" tint="0.79998168889431442"/>
        <bgColor indexed="64"/>
      </patternFill>
    </fill>
    <fill>
      <patternFill patternType="solid">
        <fgColor theme="2" tint="-4.9989318521683403E-2"/>
        <bgColor indexed="64"/>
      </patternFill>
    </fill>
    <fill>
      <patternFill patternType="solid">
        <fgColor theme="4" tint="0.79998168889431442"/>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bottom style="thin">
        <color theme="0" tint="-0.34998626667073579"/>
      </bottom>
      <diagonal/>
    </border>
  </borders>
  <cellStyleXfs count="51">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7"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16" fillId="0" borderId="0" applyNumberFormat="0" applyFill="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9" applyNumberFormat="0" applyAlignment="0" applyProtection="0"/>
    <xf numFmtId="0" fontId="21" fillId="15" borderId="10" applyNumberFormat="0" applyAlignment="0" applyProtection="0"/>
    <xf numFmtId="0" fontId="22" fillId="15" borderId="9" applyNumberFormat="0" applyAlignment="0" applyProtection="0"/>
    <xf numFmtId="0" fontId="23" fillId="0" borderId="11" applyNumberFormat="0" applyFill="0" applyAlignment="0" applyProtection="0"/>
    <xf numFmtId="0" fontId="13" fillId="16" borderId="12" applyNumberFormat="0" applyAlignment="0" applyProtection="0"/>
    <xf numFmtId="0" fontId="24" fillId="0" borderId="0" applyNumberFormat="0" applyFill="0" applyBorder="0" applyAlignment="0" applyProtection="0"/>
    <xf numFmtId="0" fontId="4" fillId="17" borderId="13" applyNumberFormat="0" applyFont="0" applyAlignment="0" applyProtection="0"/>
    <xf numFmtId="0" fontId="25" fillId="0" borderId="0" applyNumberFormat="0" applyFill="0" applyBorder="0" applyAlignment="0" applyProtection="0"/>
    <xf numFmtId="0" fontId="26" fillId="0" borderId="14" applyNumberFormat="0" applyFill="0" applyAlignment="0" applyProtection="0"/>
    <xf numFmtId="0" fontId="7"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7"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7"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7"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44" fontId="4" fillId="0" borderId="0" applyFont="0" applyFill="0" applyBorder="0" applyAlignment="0" applyProtection="0"/>
  </cellStyleXfs>
  <cellXfs count="185">
    <xf numFmtId="0" fontId="0" fillId="0" borderId="0" xfId="0"/>
    <xf numFmtId="0" fontId="0" fillId="0" borderId="0" xfId="0" applyAlignment="1">
      <alignment vertical="center"/>
    </xf>
    <xf numFmtId="0" fontId="0" fillId="0" borderId="0" xfId="0" applyAlignment="1">
      <alignment horizontal="right" vertical="center"/>
    </xf>
    <xf numFmtId="0" fontId="0" fillId="0" borderId="4" xfId="0" applyBorder="1" applyAlignment="1">
      <alignment horizontal="center" vertical="center"/>
    </xf>
    <xf numFmtId="0" fontId="3" fillId="0" borderId="0" xfId="0" applyFont="1" applyAlignment="1">
      <alignment horizontal="center" vertical="center"/>
    </xf>
    <xf numFmtId="0" fontId="3" fillId="2" borderId="0" xfId="0" applyFont="1" applyFill="1"/>
    <xf numFmtId="0" fontId="3" fillId="0" borderId="0" xfId="0" applyFont="1" applyAlignment="1">
      <alignment vertical="center"/>
    </xf>
    <xf numFmtId="0" fontId="3" fillId="0" borderId="0" xfId="0" applyFont="1" applyAlignment="1">
      <alignment horizontal="left" vertical="center" indent="2"/>
    </xf>
    <xf numFmtId="0" fontId="3" fillId="0" borderId="0" xfId="0" applyFont="1"/>
    <xf numFmtId="0" fontId="3" fillId="0" borderId="0" xfId="0" applyFont="1" applyAlignment="1">
      <alignment horizontal="right" vertical="center"/>
    </xf>
    <xf numFmtId="0" fontId="3" fillId="0" borderId="3" xfId="0" applyFont="1" applyBorder="1"/>
    <xf numFmtId="0" fontId="11"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9" fillId="0" borderId="8" xfId="0" applyFont="1" applyBorder="1"/>
    <xf numFmtId="0" fontId="14" fillId="0" borderId="8" xfId="0" applyFont="1" applyBorder="1" applyAlignment="1">
      <alignment vertical="center"/>
    </xf>
    <xf numFmtId="0" fontId="15" fillId="0" borderId="8" xfId="0" applyFont="1" applyBorder="1" applyAlignment="1">
      <alignment vertical="center"/>
    </xf>
    <xf numFmtId="0" fontId="12" fillId="0" borderId="8" xfId="0" applyFont="1" applyBorder="1" applyAlignment="1">
      <alignment vertical="center"/>
    </xf>
    <xf numFmtId="0" fontId="1" fillId="10" borderId="1" xfId="0" applyFont="1" applyFill="1" applyBorder="1" applyAlignment="1">
      <alignment horizontal="center" vertical="center" shrinkToFit="1"/>
    </xf>
    <xf numFmtId="167" fontId="1" fillId="10" borderId="6" xfId="0" applyNumberFormat="1" applyFont="1" applyFill="1" applyBorder="1" applyAlignment="1">
      <alignment horizontal="center" vertical="center"/>
    </xf>
    <xf numFmtId="167" fontId="1" fillId="10" borderId="5" xfId="0" applyNumberFormat="1" applyFont="1" applyFill="1" applyBorder="1" applyAlignment="1">
      <alignment horizontal="center" vertical="center"/>
    </xf>
    <xf numFmtId="167" fontId="1" fillId="10" borderId="7" xfId="0" applyNumberFormat="1" applyFont="1" applyFill="1" applyBorder="1" applyAlignment="1">
      <alignment horizontal="center" vertical="center"/>
    </xf>
    <xf numFmtId="167" fontId="1" fillId="10" borderId="2" xfId="0" applyNumberFormat="1" applyFont="1" applyFill="1" applyBorder="1" applyAlignment="1">
      <alignment horizontal="center" vertical="center"/>
    </xf>
    <xf numFmtId="167" fontId="1" fillId="10" borderId="0" xfId="0" applyNumberFormat="1" applyFont="1" applyFill="1" applyAlignment="1">
      <alignment horizontal="center" vertical="center"/>
    </xf>
    <xf numFmtId="167" fontId="1" fillId="10" borderId="3" xfId="0" applyNumberFormat="1" applyFont="1" applyFill="1" applyBorder="1" applyAlignment="1">
      <alignment horizontal="center" vertical="center"/>
    </xf>
    <xf numFmtId="0" fontId="28" fillId="0" borderId="0" xfId="5" applyFont="1" applyFill="1" applyBorder="1" applyAlignment="1">
      <alignment horizontal="left" vertical="center"/>
    </xf>
    <xf numFmtId="0" fontId="28" fillId="0" borderId="0" xfId="0" applyFont="1" applyAlignment="1">
      <alignment horizontal="left" vertical="center"/>
    </xf>
    <xf numFmtId="0" fontId="1" fillId="41" borderId="0" xfId="0" applyFont="1" applyFill="1" applyAlignment="1">
      <alignment horizontal="left" vertical="center" wrapText="1" indent="2"/>
    </xf>
    <xf numFmtId="0" fontId="1" fillId="41" borderId="0" xfId="0" applyFont="1" applyFill="1" applyAlignment="1">
      <alignment horizontal="center" vertical="center"/>
    </xf>
    <xf numFmtId="9" fontId="27" fillId="41" borderId="0" xfId="2" applyFont="1" applyFill="1" applyBorder="1">
      <alignment horizontal="center" vertical="center"/>
    </xf>
    <xf numFmtId="14" fontId="1" fillId="41" borderId="0" xfId="9" applyFont="1" applyFill="1" applyBorder="1">
      <alignment horizontal="center" vertical="center"/>
    </xf>
    <xf numFmtId="168" fontId="1" fillId="41" borderId="0" xfId="10" applyFont="1" applyFill="1" applyBorder="1">
      <alignment horizontal="center" vertical="center"/>
    </xf>
    <xf numFmtId="44" fontId="1" fillId="41" borderId="0" xfId="12" applyNumberFormat="1" applyFont="1" applyFill="1" applyAlignment="1">
      <alignment horizontal="left" vertical="center" wrapText="1" indent="2"/>
    </xf>
    <xf numFmtId="169" fontId="1" fillId="41" borderId="0" xfId="12" applyNumberFormat="1" applyFont="1" applyFill="1" applyAlignment="1">
      <alignment horizontal="left" vertical="center" wrapText="1" indent="2"/>
    </xf>
    <xf numFmtId="10" fontId="27" fillId="41" borderId="0" xfId="2" applyNumberFormat="1" applyFont="1" applyFill="1" applyBorder="1">
      <alignment horizontal="center" vertical="center"/>
    </xf>
    <xf numFmtId="0" fontId="0" fillId="41" borderId="4" xfId="0" applyFill="1" applyBorder="1" applyAlignment="1">
      <alignment horizontal="center" vertical="center"/>
    </xf>
    <xf numFmtId="0" fontId="30" fillId="42" borderId="0" xfId="0" applyFont="1" applyFill="1"/>
    <xf numFmtId="167" fontId="1" fillId="41" borderId="3" xfId="0" applyNumberFormat="1" applyFont="1" applyFill="1" applyBorder="1" applyAlignment="1">
      <alignment horizontal="center" vertical="center"/>
    </xf>
    <xf numFmtId="0" fontId="0" fillId="41" borderId="0" xfId="0" applyFill="1"/>
    <xf numFmtId="0" fontId="1" fillId="10" borderId="15" xfId="0" applyFont="1" applyFill="1" applyBorder="1" applyAlignment="1">
      <alignment horizontal="center" vertical="center" shrinkToFit="1"/>
    </xf>
    <xf numFmtId="167" fontId="1" fillId="41" borderId="0" xfId="0" applyNumberFormat="1" applyFont="1" applyFill="1" applyAlignment="1">
      <alignment horizontal="center" vertical="center"/>
    </xf>
    <xf numFmtId="9" fontId="27" fillId="41" borderId="0" xfId="2" applyFont="1" applyFill="1">
      <alignment horizontal="center" vertical="center"/>
    </xf>
    <xf numFmtId="44" fontId="30" fillId="42" borderId="0" xfId="12" applyNumberFormat="1" applyFont="1" applyFill="1"/>
    <xf numFmtId="44" fontId="35" fillId="45" borderId="0" xfId="12" applyNumberFormat="1" applyFont="1" applyFill="1"/>
    <xf numFmtId="0" fontId="36" fillId="44" borderId="0" xfId="0" applyFont="1" applyFill="1"/>
    <xf numFmtId="0" fontId="36" fillId="45" borderId="0" xfId="0" applyFont="1" applyFill="1"/>
    <xf numFmtId="0" fontId="37" fillId="44" borderId="0" xfId="0" applyFont="1" applyFill="1"/>
    <xf numFmtId="44" fontId="38" fillId="44" borderId="0" xfId="12" applyNumberFormat="1" applyFont="1" applyFill="1"/>
    <xf numFmtId="0" fontId="38" fillId="44" borderId="0" xfId="0" applyFont="1" applyFill="1"/>
    <xf numFmtId="0" fontId="39" fillId="44" borderId="0" xfId="0" applyFont="1" applyFill="1"/>
    <xf numFmtId="44" fontId="39" fillId="44" borderId="0" xfId="12" applyNumberFormat="1" applyFont="1" applyFill="1"/>
    <xf numFmtId="0" fontId="40" fillId="44" borderId="0" xfId="0" applyFont="1" applyFill="1"/>
    <xf numFmtId="0" fontId="41" fillId="43" borderId="0" xfId="0" applyFont="1" applyFill="1"/>
    <xf numFmtId="0" fontId="42" fillId="43" borderId="0" xfId="0" applyFont="1" applyFill="1"/>
    <xf numFmtId="14" fontId="42" fillId="43" borderId="0" xfId="0" applyNumberFormat="1" applyFont="1" applyFill="1"/>
    <xf numFmtId="44" fontId="42" fillId="43" borderId="0" xfId="12" applyNumberFormat="1" applyFont="1" applyFill="1"/>
    <xf numFmtId="0" fontId="32" fillId="42" borderId="0" xfId="0" applyFont="1" applyFill="1"/>
    <xf numFmtId="169" fontId="33" fillId="42" borderId="0" xfId="12" applyNumberFormat="1" applyFont="1" applyFill="1"/>
    <xf numFmtId="169" fontId="34" fillId="42" borderId="0" xfId="12" applyNumberFormat="1" applyFont="1" applyFill="1"/>
    <xf numFmtId="169" fontId="34" fillId="42" borderId="0" xfId="0" applyNumberFormat="1" applyFont="1" applyFill="1"/>
    <xf numFmtId="169" fontId="31" fillId="45" borderId="0" xfId="0" applyNumberFormat="1" applyFont="1" applyFill="1"/>
    <xf numFmtId="0" fontId="11" fillId="45" borderId="0" xfId="0" applyFont="1" applyFill="1"/>
    <xf numFmtId="169" fontId="11" fillId="45" borderId="0" xfId="0" applyNumberFormat="1" applyFont="1" applyFill="1"/>
    <xf numFmtId="44" fontId="34" fillId="42" borderId="0" xfId="12" applyNumberFormat="1" applyFont="1" applyFill="1"/>
    <xf numFmtId="44" fontId="11" fillId="45" borderId="0" xfId="0" applyNumberFormat="1" applyFont="1" applyFill="1"/>
    <xf numFmtId="44" fontId="11" fillId="45" borderId="0" xfId="12" applyNumberFormat="1" applyFont="1" applyFill="1"/>
    <xf numFmtId="0" fontId="0" fillId="44" borderId="0" xfId="0" applyFill="1"/>
    <xf numFmtId="44" fontId="37" fillId="44" borderId="0" xfId="12" applyNumberFormat="1" applyFont="1" applyFill="1"/>
    <xf numFmtId="44" fontId="41" fillId="43" borderId="0" xfId="0" applyNumberFormat="1" applyFont="1" applyFill="1"/>
    <xf numFmtId="44" fontId="31" fillId="45" borderId="0" xfId="0" applyNumberFormat="1" applyFont="1" applyFill="1"/>
    <xf numFmtId="44" fontId="32" fillId="42" borderId="0" xfId="12" applyNumberFormat="1" applyFont="1" applyFill="1"/>
    <xf numFmtId="14" fontId="43" fillId="41" borderId="0" xfId="9" applyFont="1" applyFill="1" applyBorder="1">
      <alignment horizontal="center" vertical="center"/>
    </xf>
    <xf numFmtId="14" fontId="27" fillId="41" borderId="0" xfId="9" applyFont="1" applyFill="1" applyBorder="1">
      <alignment horizontal="center" vertical="center"/>
    </xf>
    <xf numFmtId="0" fontId="44" fillId="0" borderId="0" xfId="0" applyFont="1"/>
    <xf numFmtId="0" fontId="44"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indent="2"/>
    </xf>
    <xf numFmtId="0" fontId="1" fillId="0" borderId="0" xfId="0" applyFont="1"/>
    <xf numFmtId="0" fontId="1" fillId="0" borderId="0" xfId="0" applyFont="1" applyAlignment="1">
      <alignment horizontal="right" vertical="center"/>
    </xf>
    <xf numFmtId="0" fontId="1" fillId="0" borderId="0" xfId="8" applyFont="1" applyFill="1" applyAlignment="1">
      <alignment horizontal="left" vertical="center" indent="2"/>
    </xf>
    <xf numFmtId="44" fontId="1" fillId="0" borderId="0" xfId="12" applyNumberFormat="1" applyFont="1" applyAlignment="1">
      <alignment horizontal="left" vertical="center" indent="2"/>
    </xf>
    <xf numFmtId="0" fontId="8" fillId="9" borderId="0" xfId="0" applyFont="1" applyFill="1" applyAlignment="1">
      <alignment horizontal="left" vertical="center" indent="1"/>
    </xf>
    <xf numFmtId="0" fontId="8" fillId="9" borderId="0" xfId="0" applyFont="1" applyFill="1" applyAlignment="1">
      <alignment horizontal="left" vertical="center" wrapText="1" indent="1"/>
    </xf>
    <xf numFmtId="0" fontId="8" fillId="9" borderId="0" xfId="0" applyFont="1" applyFill="1" applyAlignment="1">
      <alignment horizontal="center" vertical="center" wrapText="1"/>
    </xf>
    <xf numFmtId="0" fontId="27" fillId="0" borderId="0" xfId="0" applyFont="1" applyAlignment="1">
      <alignment horizontal="left" vertical="center" wrapText="1" indent="1"/>
    </xf>
    <xf numFmtId="44" fontId="27" fillId="0" borderId="0" xfId="0" applyNumberFormat="1" applyFont="1" applyAlignment="1">
      <alignment horizontal="left" vertical="center" wrapText="1" indent="1"/>
    </xf>
    <xf numFmtId="169" fontId="27" fillId="0" borderId="0" xfId="0" applyNumberFormat="1" applyFont="1" applyAlignment="1">
      <alignment horizontal="left" vertical="center" wrapText="1" indent="1"/>
    </xf>
    <xf numFmtId="9" fontId="27" fillId="0" borderId="0" xfId="2" applyFont="1" applyFill="1" applyBorder="1">
      <alignment horizontal="center" vertical="center"/>
    </xf>
    <xf numFmtId="14" fontId="1" fillId="0" borderId="0" xfId="9" applyFont="1" applyFill="1" applyBorder="1">
      <alignment horizontal="center" vertical="center"/>
    </xf>
    <xf numFmtId="168" fontId="1" fillId="0" borderId="0" xfId="10" applyFont="1" applyFill="1" applyBorder="1">
      <alignment horizontal="center" vertical="center"/>
    </xf>
    <xf numFmtId="1" fontId="45" fillId="41" borderId="0" xfId="10" applyNumberFormat="1" applyFont="1" applyFill="1" applyBorder="1">
      <alignment horizontal="center" vertical="center"/>
    </xf>
    <xf numFmtId="168" fontId="45" fillId="41" borderId="0" xfId="10" applyFont="1" applyFill="1" applyBorder="1">
      <alignment horizontal="center" vertical="center"/>
    </xf>
    <xf numFmtId="0" fontId="27" fillId="2" borderId="0" xfId="0" applyFont="1" applyFill="1" applyAlignment="1">
      <alignment horizontal="left" vertical="center" wrapText="1" indent="1"/>
    </xf>
    <xf numFmtId="0" fontId="1" fillId="2" borderId="0" xfId="0" applyFont="1" applyFill="1" applyAlignment="1">
      <alignment horizontal="center" vertical="center"/>
    </xf>
    <xf numFmtId="9" fontId="27" fillId="2" borderId="0" xfId="2" applyFont="1" applyFill="1" applyBorder="1">
      <alignment horizontal="center" vertical="center"/>
    </xf>
    <xf numFmtId="14" fontId="1" fillId="2" borderId="0" xfId="9" applyFont="1" applyFill="1" applyBorder="1">
      <alignment horizontal="center" vertical="center"/>
    </xf>
    <xf numFmtId="168" fontId="1" fillId="2" borderId="0" xfId="10" applyFont="1" applyFill="1" applyBorder="1">
      <alignment horizontal="center" vertical="center"/>
    </xf>
    <xf numFmtId="1" fontId="1" fillId="2" borderId="0" xfId="10" applyNumberFormat="1" applyFont="1" applyFill="1" applyBorder="1">
      <alignment horizontal="center" vertical="center"/>
    </xf>
    <xf numFmtId="0" fontId="27" fillId="41" borderId="0" xfId="0" applyFont="1" applyFill="1" applyAlignment="1">
      <alignment horizontal="left" vertical="center" wrapText="1" indent="1"/>
    </xf>
    <xf numFmtId="1" fontId="1" fillId="41" borderId="0" xfId="10" applyNumberFormat="1" applyFont="1" applyFill="1" applyBorder="1">
      <alignment horizontal="center" vertical="center"/>
    </xf>
    <xf numFmtId="44" fontId="27" fillId="2" borderId="0" xfId="12" applyNumberFormat="1" applyFont="1" applyFill="1" applyAlignment="1">
      <alignment horizontal="left" vertical="center" wrapText="1" indent="1"/>
    </xf>
    <xf numFmtId="169" fontId="27" fillId="2" borderId="0" xfId="12" applyNumberFormat="1" applyFont="1" applyFill="1" applyAlignment="1">
      <alignment horizontal="left" vertical="center" wrapText="1" indent="1"/>
    </xf>
    <xf numFmtId="0" fontId="1" fillId="41" borderId="0" xfId="0" applyFont="1" applyFill="1" applyAlignment="1">
      <alignment horizontal="left" vertical="center" wrapText="1" indent="3"/>
    </xf>
    <xf numFmtId="0" fontId="44" fillId="0" borderId="0" xfId="0" applyFont="1" applyAlignment="1">
      <alignment horizontal="left" wrapText="1" indent="1"/>
    </xf>
    <xf numFmtId="0" fontId="1" fillId="0" borderId="0" xfId="0" applyFont="1" applyAlignment="1">
      <alignment horizontal="left" vertical="center" wrapText="1" indent="2"/>
    </xf>
    <xf numFmtId="0" fontId="44" fillId="0" borderId="0" xfId="0" applyFont="1" applyAlignment="1">
      <alignment horizontal="center" vertical="center"/>
    </xf>
    <xf numFmtId="0" fontId="46" fillId="0" borderId="0" xfId="0" applyFont="1" applyAlignment="1">
      <alignment horizontal="center" vertical="center"/>
    </xf>
    <xf numFmtId="14" fontId="44" fillId="0" borderId="0" xfId="9" applyFont="1">
      <alignment horizontal="center" vertical="center"/>
    </xf>
    <xf numFmtId="14" fontId="1" fillId="0" borderId="0" xfId="9" applyFont="1" applyFill="1">
      <alignment horizontal="center" vertical="center"/>
    </xf>
    <xf numFmtId="0" fontId="47" fillId="0" borderId="0" xfId="0" applyFont="1" applyAlignment="1">
      <alignment horizontal="center"/>
    </xf>
    <xf numFmtId="0" fontId="48" fillId="0" borderId="0" xfId="1" applyFont="1" applyAlignment="1" applyProtection="1">
      <alignment horizontal="center" vertical="center"/>
    </xf>
    <xf numFmtId="0" fontId="10" fillId="0" borderId="0" xfId="6" applyFont="1" applyFill="1" applyAlignment="1">
      <alignment horizontal="left" vertical="center" indent="2"/>
    </xf>
    <xf numFmtId="0" fontId="10" fillId="0" borderId="0" xfId="0" applyFont="1" applyAlignment="1">
      <alignment horizontal="left" vertical="center" indent="2"/>
    </xf>
    <xf numFmtId="0" fontId="3" fillId="0" borderId="0" xfId="0" applyFont="1" applyAlignment="1">
      <alignment horizontal="center"/>
    </xf>
    <xf numFmtId="0" fontId="4" fillId="0" borderId="0" xfId="0" applyFont="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170" fontId="3" fillId="0" borderId="0" xfId="12" applyNumberFormat="1" applyFont="1" applyAlignment="1">
      <alignment horizontal="left" vertical="center" indent="2"/>
    </xf>
    <xf numFmtId="14" fontId="10" fillId="0" borderId="0" xfId="12" applyNumberFormat="1" applyFont="1" applyAlignment="1">
      <alignment horizontal="left" vertical="center" indent="2"/>
    </xf>
    <xf numFmtId="44" fontId="45" fillId="41" borderId="0" xfId="12" applyNumberFormat="1" applyFont="1" applyFill="1" applyAlignment="1">
      <alignment horizontal="left" vertical="center" wrapText="1" indent="2"/>
    </xf>
    <xf numFmtId="14" fontId="45" fillId="41" borderId="0" xfId="9" applyFont="1" applyFill="1" applyBorder="1">
      <alignment horizontal="center" vertical="center"/>
    </xf>
    <xf numFmtId="14" fontId="42" fillId="42" borderId="0" xfId="0" applyNumberFormat="1" applyFont="1" applyFill="1"/>
    <xf numFmtId="0" fontId="0" fillId="42" borderId="0" xfId="0" applyFill="1"/>
    <xf numFmtId="44" fontId="33" fillId="42" borderId="0" xfId="0" applyNumberFormat="1" applyFont="1" applyFill="1"/>
    <xf numFmtId="44" fontId="42" fillId="42" borderId="0" xfId="12" applyNumberFormat="1" applyFont="1" applyFill="1"/>
    <xf numFmtId="10" fontId="1" fillId="41" borderId="0" xfId="2" applyNumberFormat="1" applyFont="1" applyFill="1" applyBorder="1">
      <alignment horizontal="center" vertical="center"/>
    </xf>
    <xf numFmtId="9" fontId="1" fillId="41" borderId="0" xfId="2" applyFont="1" applyFill="1" applyBorder="1">
      <alignment horizontal="center" vertical="center"/>
    </xf>
    <xf numFmtId="8" fontId="44" fillId="0" borderId="0" xfId="0" applyNumberFormat="1" applyFont="1"/>
    <xf numFmtId="0" fontId="1" fillId="46" borderId="0" xfId="0" applyFont="1" applyFill="1" applyAlignment="1">
      <alignment horizontal="left" vertical="center" wrapText="1" indent="2"/>
    </xf>
    <xf numFmtId="44" fontId="1" fillId="46" borderId="0" xfId="12" applyNumberFormat="1" applyFont="1" applyFill="1" applyAlignment="1">
      <alignment horizontal="left" vertical="center" wrapText="1" indent="2"/>
    </xf>
    <xf numFmtId="169" fontId="1" fillId="46" borderId="0" xfId="12" applyNumberFormat="1" applyFont="1" applyFill="1" applyAlignment="1">
      <alignment horizontal="left" vertical="center" wrapText="1" indent="2"/>
    </xf>
    <xf numFmtId="0" fontId="1" fillId="46" borderId="0" xfId="0" applyFont="1" applyFill="1" applyAlignment="1">
      <alignment horizontal="center" vertical="center"/>
    </xf>
    <xf numFmtId="10" fontId="27" fillId="46" borderId="0" xfId="2" applyNumberFormat="1" applyFont="1" applyFill="1" applyBorder="1">
      <alignment horizontal="center" vertical="center"/>
    </xf>
    <xf numFmtId="9" fontId="27" fillId="46" borderId="0" xfId="2" applyFont="1" applyFill="1" applyBorder="1">
      <alignment horizontal="center" vertical="center"/>
    </xf>
    <xf numFmtId="14" fontId="1" fillId="46" borderId="0" xfId="9" applyFont="1" applyFill="1" applyBorder="1">
      <alignment horizontal="center" vertical="center"/>
    </xf>
    <xf numFmtId="168" fontId="1" fillId="46" borderId="0" xfId="10" applyFont="1" applyFill="1" applyBorder="1">
      <alignment horizontal="center" vertical="center"/>
    </xf>
    <xf numFmtId="44" fontId="27" fillId="47" borderId="0" xfId="0" applyNumberFormat="1" applyFont="1" applyFill="1" applyAlignment="1">
      <alignment horizontal="left" vertical="center" wrapText="1" indent="1"/>
    </xf>
    <xf numFmtId="169" fontId="27" fillId="47" borderId="0" xfId="0" applyNumberFormat="1" applyFont="1" applyFill="1" applyAlignment="1">
      <alignment horizontal="left" vertical="center" wrapText="1" indent="1"/>
    </xf>
    <xf numFmtId="14" fontId="27" fillId="46" borderId="0" xfId="9" applyFont="1" applyFill="1" applyBorder="1">
      <alignment horizontal="center" vertical="center"/>
    </xf>
    <xf numFmtId="1" fontId="1" fillId="46" borderId="0" xfId="10" applyNumberFormat="1" applyFont="1" applyFill="1" applyBorder="1">
      <alignment horizontal="center" vertical="center"/>
    </xf>
    <xf numFmtId="44" fontId="1" fillId="48" borderId="0" xfId="12" applyNumberFormat="1" applyFont="1" applyFill="1" applyAlignment="1">
      <alignment horizontal="left" vertical="center" wrapText="1" indent="2"/>
    </xf>
    <xf numFmtId="169" fontId="1" fillId="48" borderId="0" xfId="12" applyNumberFormat="1" applyFont="1" applyFill="1" applyAlignment="1">
      <alignment horizontal="left" vertical="center" wrapText="1" indent="2"/>
    </xf>
    <xf numFmtId="0" fontId="1" fillId="48" borderId="0" xfId="0" applyFont="1" applyFill="1" applyAlignment="1">
      <alignment horizontal="center" vertical="center"/>
    </xf>
    <xf numFmtId="10" fontId="27" fillId="48" borderId="0" xfId="2" applyNumberFormat="1" applyFont="1" applyFill="1" applyBorder="1">
      <alignment horizontal="center" vertical="center"/>
    </xf>
    <xf numFmtId="9" fontId="27" fillId="48" borderId="0" xfId="2" applyFont="1" applyFill="1" applyBorder="1">
      <alignment horizontal="center" vertical="center"/>
    </xf>
    <xf numFmtId="14" fontId="1" fillId="48" borderId="0" xfId="9" applyFont="1" applyFill="1" applyBorder="1">
      <alignment horizontal="center" vertical="center"/>
    </xf>
    <xf numFmtId="168" fontId="1" fillId="48" borderId="0" xfId="10" applyFont="1" applyFill="1" applyBorder="1">
      <alignment horizontal="center" vertical="center"/>
    </xf>
    <xf numFmtId="14" fontId="27" fillId="48" borderId="0" xfId="9" applyFont="1" applyFill="1" applyBorder="1">
      <alignment horizontal="center" vertical="center"/>
    </xf>
    <xf numFmtId="1" fontId="1" fillId="48" borderId="0" xfId="10" applyNumberFormat="1" applyFont="1" applyFill="1" applyBorder="1">
      <alignment horizontal="center" vertical="center"/>
    </xf>
    <xf numFmtId="0" fontId="45" fillId="41" borderId="0" xfId="0" applyFont="1" applyFill="1" applyAlignment="1">
      <alignment horizontal="center" vertical="center"/>
    </xf>
    <xf numFmtId="10" fontId="43" fillId="41" borderId="0" xfId="2" applyNumberFormat="1" applyFont="1" applyFill="1" applyBorder="1">
      <alignment horizontal="center" vertical="center"/>
    </xf>
    <xf numFmtId="9" fontId="43" fillId="41" borderId="0" xfId="2" applyFont="1" applyFill="1" applyBorder="1">
      <alignment horizontal="center" vertical="center"/>
    </xf>
    <xf numFmtId="0" fontId="51" fillId="41" borderId="0" xfId="1" applyFont="1" applyFill="1" applyAlignment="1" applyProtection="1">
      <alignment horizontal="left" vertical="center" wrapText="1" indent="2"/>
    </xf>
    <xf numFmtId="0" fontId="0" fillId="41" borderId="0" xfId="0" applyFill="1" applyAlignment="1">
      <alignment horizontal="center" vertical="center"/>
    </xf>
    <xf numFmtId="0" fontId="51" fillId="48" borderId="0" xfId="1" applyFont="1" applyFill="1" applyAlignment="1" applyProtection="1">
      <alignment horizontal="left" vertical="center" wrapText="1" indent="2"/>
    </xf>
    <xf numFmtId="8" fontId="1" fillId="41" borderId="0" xfId="12" applyNumberFormat="1" applyFont="1" applyFill="1" applyAlignment="1">
      <alignment horizontal="left" vertical="center" wrapText="1" indent="2"/>
    </xf>
    <xf numFmtId="44" fontId="27" fillId="41" borderId="0" xfId="12" applyNumberFormat="1" applyFont="1" applyFill="1" applyAlignment="1">
      <alignment horizontal="left" vertical="center" wrapText="1" indent="2"/>
    </xf>
    <xf numFmtId="0" fontId="43" fillId="41" borderId="0" xfId="0" applyFont="1" applyFill="1" applyAlignment="1">
      <alignment horizontal="left" vertical="center" wrapText="1" indent="2"/>
    </xf>
    <xf numFmtId="0" fontId="52" fillId="41" borderId="0" xfId="0" applyFont="1" applyFill="1" applyAlignment="1">
      <alignment horizontal="left" vertical="center" wrapText="1" indent="2"/>
    </xf>
    <xf numFmtId="169" fontId="43" fillId="41" borderId="0" xfId="12" applyNumberFormat="1" applyFont="1" applyFill="1" applyAlignment="1">
      <alignment horizontal="left" vertical="center" wrapText="1" indent="2"/>
    </xf>
    <xf numFmtId="0" fontId="54" fillId="41" borderId="0" xfId="1" applyFont="1" applyFill="1" applyAlignment="1" applyProtection="1">
      <alignment horizontal="left" vertical="center" wrapText="1" indent="2"/>
    </xf>
    <xf numFmtId="44" fontId="55" fillId="41" borderId="0" xfId="12" applyNumberFormat="1" applyFont="1" applyFill="1" applyAlignment="1">
      <alignment horizontal="left" vertical="center" wrapText="1" indent="2"/>
    </xf>
    <xf numFmtId="169" fontId="55" fillId="41" borderId="0" xfId="12" applyNumberFormat="1" applyFont="1" applyFill="1" applyAlignment="1">
      <alignment horizontal="left" vertical="center" wrapText="1" indent="2"/>
    </xf>
    <xf numFmtId="0" fontId="55" fillId="41" borderId="0" xfId="0" applyFont="1" applyFill="1" applyAlignment="1">
      <alignment horizontal="center" vertical="center"/>
    </xf>
    <xf numFmtId="10" fontId="56" fillId="41" borderId="0" xfId="2" applyNumberFormat="1" applyFont="1" applyFill="1" applyBorder="1">
      <alignment horizontal="center" vertical="center"/>
    </xf>
    <xf numFmtId="9" fontId="56" fillId="41" borderId="0" xfId="2" applyFont="1" applyFill="1" applyBorder="1">
      <alignment horizontal="center" vertical="center"/>
    </xf>
    <xf numFmtId="14" fontId="55" fillId="41" borderId="0" xfId="9" applyFont="1" applyFill="1" applyBorder="1">
      <alignment horizontal="center" vertical="center"/>
    </xf>
    <xf numFmtId="14" fontId="56" fillId="41" borderId="0" xfId="9" applyFont="1" applyFill="1" applyBorder="1">
      <alignment horizontal="center" vertical="center"/>
    </xf>
    <xf numFmtId="168" fontId="55" fillId="41" borderId="0" xfId="10" applyFont="1" applyFill="1" applyBorder="1">
      <alignment horizontal="center" vertical="center"/>
    </xf>
    <xf numFmtId="1" fontId="55" fillId="41" borderId="0" xfId="10" applyNumberFormat="1" applyFont="1" applyFill="1" applyBorder="1">
      <alignment horizontal="center" vertical="center"/>
    </xf>
    <xf numFmtId="0" fontId="1" fillId="48" borderId="0" xfId="0" applyFont="1" applyFill="1" applyAlignment="1">
      <alignment horizontal="left" vertical="center" wrapText="1" indent="2"/>
    </xf>
    <xf numFmtId="8" fontId="1" fillId="48" borderId="0" xfId="12" applyNumberFormat="1" applyFont="1" applyFill="1" applyAlignment="1">
      <alignment horizontal="left" vertical="center" wrapText="1" indent="2"/>
    </xf>
    <xf numFmtId="0" fontId="27" fillId="48" borderId="0" xfId="0" applyFont="1" applyFill="1" applyAlignment="1">
      <alignment horizontal="left" vertical="center" wrapText="1" indent="2"/>
    </xf>
    <xf numFmtId="44" fontId="27" fillId="48" borderId="0" xfId="12" applyNumberFormat="1" applyFont="1" applyFill="1" applyAlignment="1">
      <alignment horizontal="left" vertical="center" wrapText="1" indent="2"/>
    </xf>
    <xf numFmtId="169" fontId="27" fillId="48" borderId="0" xfId="12" applyNumberFormat="1" applyFont="1" applyFill="1" applyAlignment="1">
      <alignment horizontal="left" vertical="center" wrapText="1" indent="2"/>
    </xf>
    <xf numFmtId="0" fontId="13" fillId="6" borderId="0" xfId="0" applyFont="1" applyFill="1" applyAlignment="1">
      <alignment horizontal="center" vertical="center" wrapText="1"/>
    </xf>
    <xf numFmtId="0" fontId="10" fillId="4" borderId="0" xfId="0" applyFont="1" applyFill="1" applyAlignment="1">
      <alignment horizontal="center" vertical="center" wrapText="1"/>
    </xf>
    <xf numFmtId="0" fontId="29" fillId="2" borderId="0" xfId="5" applyFont="1" applyFill="1" applyAlignment="1">
      <alignment horizontal="left" vertical="center" indent="1"/>
    </xf>
    <xf numFmtId="0" fontId="11"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1">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Moneda 2" xfId="50" xr:uid="{DAFDCD9C-C62F-4CCC-8A18-F1FF86AE8DDA}"/>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8">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b val="0"/>
        <i val="0"/>
        <strike val="0"/>
        <condense val="0"/>
        <extend val="0"/>
        <outline val="0"/>
        <shadow val="0"/>
        <u val="none"/>
        <vertAlign val="baseline"/>
        <sz val="10"/>
        <color auto="1"/>
        <name val="Calibri"/>
        <family val="2"/>
        <scheme val="minor"/>
      </font>
      <fill>
        <patternFill patternType="none">
          <fgColor indexed="64"/>
          <bgColor indexed="65"/>
        </patternFill>
      </fill>
    </dxf>
    <dxf>
      <font>
        <strike val="0"/>
        <outline val="0"/>
        <shadow val="0"/>
        <u val="none"/>
        <vertAlign val="baseline"/>
        <sz val="10"/>
        <name val="Calibri"/>
        <family val="2"/>
        <scheme val="minor"/>
      </font>
    </dxf>
    <dxf>
      <font>
        <b/>
        <i val="0"/>
        <strike val="0"/>
        <condense val="0"/>
        <extend val="0"/>
        <outline val="0"/>
        <shadow val="0"/>
        <u val="none"/>
        <vertAlign val="baseline"/>
        <sz val="10"/>
        <color auto="1"/>
        <name val="Calibri"/>
        <family val="2"/>
        <scheme val="minor"/>
      </font>
      <fill>
        <patternFill patternType="solid">
          <fgColor indexed="64"/>
          <bgColor theme="0"/>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alignment horizontal="center" vertical="center" textRotation="0" indent="0" justifyLastLine="0" shrinkToFit="0" readingOrder="0"/>
    </dxf>
    <dxf>
      <font>
        <strike val="0"/>
        <outline val="0"/>
        <shadow val="0"/>
        <u val="none"/>
        <vertAlign val="baseline"/>
        <sz val="1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9" formatCode="_-[$USD]\ * #,##0.00_-;\-[$USD]\ * #,##0.00_-;_-[$USD]\ * &quot;-&quot;??_-;_-@_-"/>
      <fill>
        <patternFill patternType="solid">
          <fgColor indexed="64"/>
          <bgColor theme="0"/>
        </patternFill>
      </fill>
      <alignment horizontal="left" vertical="center" textRotation="0" wrapText="1" indent="2" justifyLastLine="0" shrinkToFit="0" readingOrder="0"/>
    </dxf>
    <dxf>
      <font>
        <b val="0"/>
        <i val="0"/>
        <strike val="0"/>
        <condense val="0"/>
        <extend val="0"/>
        <outline val="0"/>
        <shadow val="0"/>
        <u val="none"/>
        <vertAlign val="baseline"/>
        <sz val="10"/>
        <color auto="1"/>
        <name val="Calibri"/>
        <family val="2"/>
        <scheme val="minor"/>
      </font>
      <numFmt numFmtId="34" formatCode="_-&quot;$&quot;\ * #,##0.00_-;\-&quot;$&quot;\ * #,##0.00_-;_-&quot;$&quot;\ * &quot;-&quot;??_-;_-@_-"/>
      <fill>
        <patternFill patternType="solid">
          <fgColor indexed="64"/>
          <bgColor theme="0"/>
        </patternFill>
      </fill>
      <alignment horizontal="left" vertical="center" textRotation="0" wrapText="1" indent="2" justifyLastLine="0" shrinkToFit="0" readingOrder="0"/>
    </dxf>
    <dxf>
      <font>
        <b val="0"/>
        <i val="0"/>
        <strike val="0"/>
        <condense val="0"/>
        <extend val="0"/>
        <outline val="0"/>
        <shadow val="0"/>
        <u val="none"/>
        <vertAlign val="baseline"/>
        <sz val="10"/>
        <color auto="1"/>
        <name val="Calibri"/>
        <family val="2"/>
        <scheme val="minor"/>
      </font>
      <numFmt numFmtId="34" formatCode="_-&quot;$&quot;\ * #,##0.00_-;\-&quot;$&quot;\ * #,##0.00_-;_-&quot;$&quot;\ * &quot;-&quot;??_-;_-@_-"/>
      <fill>
        <patternFill patternType="solid">
          <fgColor indexed="64"/>
          <bgColor theme="0"/>
        </patternFill>
      </fill>
      <alignment horizontal="left" vertical="center" textRotation="0" wrapText="1" indent="2" justifyLastLine="0" shrinkToFit="0" readingOrder="0"/>
    </dxf>
    <dxf>
      <font>
        <b val="0"/>
        <i val="0"/>
        <strike val="0"/>
        <condense val="0"/>
        <extend val="0"/>
        <outline val="0"/>
        <shadow val="0"/>
        <u val="none"/>
        <vertAlign val="baseline"/>
        <sz val="10"/>
        <color auto="1"/>
        <name val="Calibri"/>
        <family val="2"/>
        <scheme val="minor"/>
      </font>
      <alignment horizontal="left" vertical="center" textRotation="0" wrapText="1" indent="2" justifyLastLine="0" shrinkToFit="0" readingOrder="0"/>
    </dxf>
    <dxf>
      <font>
        <strike val="0"/>
        <outline val="0"/>
        <shadow val="0"/>
        <u val="none"/>
        <vertAlign val="baseline"/>
        <sz val="10"/>
        <name val="Calibri"/>
        <family val="2"/>
        <scheme val="minor"/>
      </font>
      <alignment horizontal="left" vertical="bottom" textRotation="0" wrapText="1" relativeIndent="1" justifyLastLine="0" shrinkToFit="0" readingOrder="0"/>
    </dxf>
    <dxf>
      <font>
        <strike val="0"/>
        <outline val="0"/>
        <shadow val="0"/>
        <u val="none"/>
        <vertAlign val="baseline"/>
        <sz val="10"/>
        <name val="Calibri"/>
        <family val="2"/>
        <scheme val="minor"/>
      </font>
    </dxf>
    <dxf>
      <font>
        <b/>
        <strike val="0"/>
        <outline val="0"/>
        <shadow val="0"/>
        <u val="none"/>
        <vertAlign val="baseline"/>
        <sz val="10"/>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7"/>
      <tableStyleElement type="headerRow" dxfId="36"/>
      <tableStyleElement type="firstRowStripe" dxfId="35"/>
      <tableStyleElement type="secondRowStripe" dxfId="34"/>
    </tableStyle>
    <tableStyle name="ListaTareasPendientes"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E$7" horiz="1" max="365" page="2"/>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28575</xdr:colOff>
          <xdr:row>7</xdr:row>
          <xdr:rowOff>57150</xdr:rowOff>
        </xdr:from>
        <xdr:to>
          <xdr:col>97</xdr:col>
          <xdr:colOff>38100</xdr:colOff>
          <xdr:row>8</xdr:row>
          <xdr:rowOff>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95250</xdr:colOff>
      <xdr:row>34</xdr:row>
      <xdr:rowOff>113308</xdr:rowOff>
    </xdr:to>
    <xdr:pic>
      <xdr:nvPicPr>
        <xdr:cNvPr id="3" name="Imagen 2">
          <a:extLst>
            <a:ext uri="{FF2B5EF4-FFF2-40B4-BE49-F238E27FC236}">
              <a16:creationId xmlns:a16="http://schemas.microsoft.com/office/drawing/2014/main" id="{4632DB82-5976-878A-E29F-65A99A13BA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287250" cy="6590308"/>
        </a:xfrm>
        <a:prstGeom prst="rect">
          <a:avLst/>
        </a:prstGeom>
      </xdr:spPr>
    </xdr:pic>
    <xdr:clientData/>
  </xdr:twoCellAnchor>
  <xdr:twoCellAnchor editAs="oneCell">
    <xdr:from>
      <xdr:col>0</xdr:col>
      <xdr:colOff>0</xdr:colOff>
      <xdr:row>34</xdr:row>
      <xdr:rowOff>45623</xdr:rowOff>
    </xdr:from>
    <xdr:to>
      <xdr:col>16</xdr:col>
      <xdr:colOff>123826</xdr:colOff>
      <xdr:row>70</xdr:row>
      <xdr:rowOff>85725</xdr:rowOff>
    </xdr:to>
    <xdr:pic>
      <xdr:nvPicPr>
        <xdr:cNvPr id="5" name="Imagen 4">
          <a:extLst>
            <a:ext uri="{FF2B5EF4-FFF2-40B4-BE49-F238E27FC236}">
              <a16:creationId xmlns:a16="http://schemas.microsoft.com/office/drawing/2014/main" id="{97DD746C-F181-FA71-780B-FACF703353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522623"/>
          <a:ext cx="12315826" cy="68981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vin\Desktop\Nuevo%20Hoja%20de%20c&#225;lculo%20de%20Microsoft%20Excel.xlsx" TargetMode="External"/><Relationship Id="rId1" Type="http://schemas.openxmlformats.org/officeDocument/2006/relationships/externalLinkPath" Target="/Users/Kevin/Desktop/Nuevo%20Hoja%20de%20c&#225;lculo%20de%20Microsoft%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ARMAS"/>
      <sheetName val="FACTURAS"/>
      <sheetName val="Nuevo Hoja de cálculo de Micros"/>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A11:N72" totalsRowShown="0" headerRowDxfId="24" dataDxfId="23">
  <tableColumns count="14">
    <tableColumn id="1" xr3:uid="{619BF8F6-D0F1-41AD-871D-FE0240C45A93}" name="Descripción del hito" dataDxfId="22"/>
    <tableColumn id="7" xr3:uid="{4EEA9893-C1D8-43E3-B4E7-DA80501D15D9}" name="MONTO INICIAL" dataDxfId="21"/>
    <tableColumn id="9" xr3:uid="{9B6F094D-6DBB-4BBA-82A3-E2FB9DC9B321}" name="A DEVOLVER" dataDxfId="20" dataCellStyle="Moneda"/>
    <tableColumn id="11" xr3:uid="{4583247F-6BA9-49B9-9A18-72529D9086FE}" name="MONTO INICIAL EN USD" dataDxfId="19" dataCellStyle="Moneda"/>
    <tableColumn id="10" xr3:uid="{EB3087FB-ECA7-4C89-8132-5AA693B3B39C}" name="MONTO A DEVOLVER EN USD" dataDxfId="18" dataCellStyle="Moneda"/>
    <tableColumn id="2" xr3:uid="{39BD914E-FB02-4352-846C-6D59624DC0B0}" name="CATEGORIA" dataDxfId="17"/>
    <tableColumn id="3" xr3:uid="{D274194F-BCA0-44F3-84B2-217254EE241C}" name="ASIGNADO A" dataDxfId="16"/>
    <tableColumn id="4" xr3:uid="{8385BC6F-56EE-4363-A106-8DB0A1E4EF5A}" name="TASA INTERES" dataDxfId="15"/>
    <tableColumn id="12" xr3:uid="{82C5DE7F-EB9F-456B-B18E-650DC04AE7CE}" name="COMISION" dataDxfId="14" dataCellStyle="Porcentaje"/>
    <tableColumn id="5" xr3:uid="{02926609-7B93-4B6F-BE96-92EC7A949E4B}" name="FECHA INICIAL" dataDxfId="13" dataCellStyle="Fecha"/>
    <tableColumn id="8" xr3:uid="{C2EC8D95-4964-4C3E-9790-F5FA3BCD4446}" name="FECHA FINAL" dataDxfId="12" dataCellStyle="Fecha"/>
    <tableColumn id="6" xr3:uid="{8FF9BE8E-04B7-4B39-AC27-D2E534204BC3}" name="DIAS" dataDxfId="11"/>
    <tableColumn id="15" xr3:uid="{60B4BA8D-6CD0-48D2-B79D-6F3F2E04B294}" name="DIAS PARA VENCIMIENTO" dataDxfId="10"/>
    <tableColumn id="16" xr3:uid="{76778E74-DE28-40DF-9DB8-9A6F8ADCC417}" name="ESTADO" dataDxfId="9"/>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DOCUMENTOS%20FINANCIEROS\Banco%20Galicia%20-%20Office%20Banking%20-%20Alta%20de%20prestamo%20-%20Prestamo%20808091616927.pdf" TargetMode="External"/><Relationship Id="rId7" Type="http://schemas.openxmlformats.org/officeDocument/2006/relationships/printerSettings" Target="../printerSettings/printerSettings2.bin"/><Relationship Id="rId12" Type="http://schemas.openxmlformats.org/officeDocument/2006/relationships/comments" Target="../comments1.xml"/><Relationship Id="rId2" Type="http://schemas.openxmlformats.org/officeDocument/2006/relationships/hyperlink" Target="DOCUMENTOS%20FINANCIEROS\Banco%20Galicia%20-%20Office%20Banking%20-%20Alta%20de%20prestamo%20-%20Prestamo%20808091457642.pdf" TargetMode="External"/><Relationship Id="rId1" Type="http://schemas.openxmlformats.org/officeDocument/2006/relationships/hyperlink" Target="DOCUMENTOS%20FINANCIEROS\Detalle%20de%20cuota-%20NACION.pdf" TargetMode="External"/><Relationship Id="rId6" Type="http://schemas.openxmlformats.org/officeDocument/2006/relationships/hyperlink" Target="DOCUMENTOS%20FINANCIEROS\Banco%20Pampa.pdf" TargetMode="External"/><Relationship Id="rId11" Type="http://schemas.openxmlformats.org/officeDocument/2006/relationships/table" Target="../tables/table1.xml"/><Relationship Id="rId5" Type="http://schemas.openxmlformats.org/officeDocument/2006/relationships/hyperlink" Target="DOCUMENTOS%20FINANCIEROS\Banco%20Pampa.pdf" TargetMode="External"/><Relationship Id="rId10" Type="http://schemas.openxmlformats.org/officeDocument/2006/relationships/ctrlProp" Target="../ctrlProps/ctrlProp1.xml"/><Relationship Id="rId4" Type="http://schemas.openxmlformats.org/officeDocument/2006/relationships/hyperlink" Target="DOCUMENTOS%20FINANCIEROS\Banco%20Pampa.pdf"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CC28-EBF7-4B1D-95E6-CA178B3AFD34}">
  <sheetPr>
    <tabColor rgb="FFFF0000"/>
  </sheetPr>
  <dimension ref="A1:F38"/>
  <sheetViews>
    <sheetView zoomScale="71" zoomScaleNormal="71" workbookViewId="0">
      <selection activeCell="B8" sqref="B8"/>
    </sheetView>
  </sheetViews>
  <sheetFormatPr baseColWidth="10" defaultColWidth="11.42578125" defaultRowHeight="15" x14ac:dyDescent="0.25"/>
  <cols>
    <col min="1" max="1" width="93.5703125" customWidth="1"/>
    <col min="2" max="2" width="43.42578125" customWidth="1"/>
    <col min="3" max="3" width="3.85546875" customWidth="1"/>
    <col min="4" max="4" width="55.85546875" customWidth="1"/>
    <col min="5" max="5" width="36.42578125" bestFit="1" customWidth="1"/>
    <col min="6" max="6" width="41.5703125" bestFit="1" customWidth="1"/>
  </cols>
  <sheetData>
    <row r="1" spans="1:6" ht="31.5" x14ac:dyDescent="0.5">
      <c r="A1" s="52" t="s">
        <v>0</v>
      </c>
      <c r="B1" s="68">
        <f>SUM(B2:B11)</f>
        <v>0</v>
      </c>
      <c r="C1" s="36"/>
      <c r="D1" s="56" t="s">
        <v>1</v>
      </c>
      <c r="E1" s="70">
        <f ca="1">SUM(E3:E12)</f>
        <v>99330623.656933323</v>
      </c>
      <c r="F1" s="36"/>
    </row>
    <row r="2" spans="1:6" ht="31.5" x14ac:dyDescent="0.5">
      <c r="A2" s="54"/>
      <c r="B2" s="55"/>
      <c r="C2" s="42"/>
      <c r="D2" s="57"/>
      <c r="E2" s="125"/>
      <c r="F2" s="36"/>
    </row>
    <row r="3" spans="1:6" ht="31.5" x14ac:dyDescent="0.5">
      <c r="A3" s="54" t="str" cm="1">
        <f t="array" aca="1" ref="A3" ca="1">_xlfn._xlws.FILTER(Ligero!A11:B104, (Ligero!M11:M104&gt;0)*(Ligero!M11:M104&lt;15)*(NOT(ISBLANK(Ligero!M11:M104))), "No hay datos")</f>
        <v>No hay datos</v>
      </c>
      <c r="B3" s="55"/>
      <c r="C3" s="42"/>
      <c r="D3" s="123" t="str" cm="1">
        <f t="array" aca="1" ref="D3:E7" ca="1">_xlfn._xlws.FILTER(Ligero!A11:B104, (Ligero!M11:M104&gt;-30)*(Ligero!M11:M104&lt;0)*(NOT(ISBLANK(Ligero!M11:M104))), "No hay datos")</f>
        <v>CREDITO MACRO FW 120tn 3,5% $300</v>
      </c>
      <c r="E3" s="126">
        <f ca="1"/>
        <v>24550000</v>
      </c>
      <c r="F3" s="124"/>
    </row>
    <row r="4" spans="1:6" ht="31.5" x14ac:dyDescent="0.5">
      <c r="A4" s="54"/>
      <c r="B4" s="55"/>
      <c r="C4" s="42"/>
      <c r="D4" s="63" t="str">
        <f ca="1"/>
        <v>CREDITO PAMPA cuota 4</v>
      </c>
      <c r="E4" s="126">
        <f ca="1"/>
        <v>3333333.3333333335</v>
      </c>
      <c r="F4" s="124"/>
    </row>
    <row r="5" spans="1:6" ht="31.5" x14ac:dyDescent="0.5">
      <c r="A5" s="53"/>
      <c r="B5" s="55"/>
      <c r="C5" s="42"/>
      <c r="D5" s="63" t="str">
        <f ca="1"/>
        <v>TODO CAMPO INSUMOS</v>
      </c>
      <c r="E5" s="126">
        <f ca="1"/>
        <v>15000000</v>
      </c>
      <c r="F5" s="124"/>
    </row>
    <row r="6" spans="1:6" ht="31.5" x14ac:dyDescent="0.5">
      <c r="A6" s="53"/>
      <c r="B6" s="55"/>
      <c r="C6" s="42"/>
      <c r="D6" s="63" t="str">
        <f ca="1"/>
        <v>BAYER/MONSANTO</v>
      </c>
      <c r="E6" s="126">
        <f ca="1"/>
        <v>16912539.2436</v>
      </c>
      <c r="F6" s="124"/>
    </row>
    <row r="7" spans="1:6" ht="31.5" x14ac:dyDescent="0.5">
      <c r="A7" s="53"/>
      <c r="B7" s="55"/>
      <c r="C7" s="42"/>
      <c r="D7" s="58" t="str">
        <f ca="1"/>
        <v>CHEQUE JULIO</v>
      </c>
      <c r="E7" s="63">
        <f ca="1"/>
        <v>39534751.079999998</v>
      </c>
      <c r="F7" s="36"/>
    </row>
    <row r="8" spans="1:6" ht="31.5" x14ac:dyDescent="0.5">
      <c r="A8" s="53"/>
      <c r="B8" s="55"/>
      <c r="C8" s="42"/>
      <c r="D8" s="59"/>
      <c r="E8" s="63"/>
      <c r="F8" s="36"/>
    </row>
    <row r="9" spans="1:6" ht="31.5" x14ac:dyDescent="0.5">
      <c r="A9" s="53"/>
      <c r="B9" s="55"/>
      <c r="C9" s="42"/>
      <c r="D9" s="59"/>
      <c r="E9" s="63"/>
      <c r="F9" s="36"/>
    </row>
    <row r="10" spans="1:6" ht="31.5" x14ac:dyDescent="0.5">
      <c r="A10" s="53"/>
      <c r="B10" s="55"/>
      <c r="C10" s="42"/>
      <c r="D10" s="59"/>
      <c r="E10" s="63"/>
      <c r="F10" s="36"/>
    </row>
    <row r="11" spans="1:6" ht="31.5" x14ac:dyDescent="0.5">
      <c r="A11" s="53"/>
      <c r="B11" s="55"/>
      <c r="C11" s="42"/>
      <c r="D11" s="59"/>
      <c r="E11" s="63"/>
      <c r="F11" s="36"/>
    </row>
    <row r="12" spans="1:6" ht="31.5" x14ac:dyDescent="0.5">
      <c r="A12" s="53"/>
      <c r="B12" s="55"/>
      <c r="C12" s="42"/>
      <c r="D12" s="59"/>
      <c r="E12" s="63"/>
      <c r="F12" s="36"/>
    </row>
    <row r="13" spans="1:6" ht="31.5" x14ac:dyDescent="0.5">
      <c r="A13" s="53"/>
      <c r="B13" s="55"/>
      <c r="C13" s="42"/>
      <c r="D13" s="59"/>
      <c r="E13" s="63"/>
      <c r="F13" s="36"/>
    </row>
    <row r="14" spans="1:6" ht="31.5" x14ac:dyDescent="0.5">
      <c r="A14" s="53"/>
      <c r="B14" s="55"/>
      <c r="C14" s="42"/>
      <c r="D14" s="59"/>
      <c r="E14" s="63"/>
      <c r="F14" s="36"/>
    </row>
    <row r="15" spans="1:6" ht="31.5" x14ac:dyDescent="0.5">
      <c r="A15" s="53"/>
      <c r="B15" s="55"/>
      <c r="C15" s="42"/>
      <c r="D15" s="59"/>
      <c r="E15" s="63"/>
      <c r="F15" s="36"/>
    </row>
    <row r="16" spans="1:6" ht="23.25" x14ac:dyDescent="0.35">
      <c r="A16" s="46" t="s">
        <v>2</v>
      </c>
      <c r="B16" s="67">
        <f ca="1">SUM(B17:B37)</f>
        <v>77596263.333333328</v>
      </c>
      <c r="C16" s="43"/>
      <c r="D16" s="60" t="s">
        <v>3</v>
      </c>
      <c r="E16" s="69">
        <f ca="1">SUM(E18:E38)</f>
        <v>47933333.333333328</v>
      </c>
      <c r="F16" s="69">
        <f ca="1">SUM(F18:F38)</f>
        <v>58964477.859999999</v>
      </c>
    </row>
    <row r="17" spans="1:6" ht="23.25" x14ac:dyDescent="0.35">
      <c r="A17" s="48"/>
      <c r="B17" s="47"/>
      <c r="C17" s="43"/>
      <c r="D17" s="62" t="str" cm="1">
        <f t="array" aca="1" ref="D17:F22" ca="1">_xlfn._xlws.FILTER(Ligero!A11:C104, (Ligero!M11:M104&gt;30)*(NOT(ISBLANK(Ligero!M11:M104))), "No hay datos")</f>
        <v>Descripción del hito</v>
      </c>
      <c r="E17" s="62" t="str">
        <f ca="1"/>
        <v>MONTO INICIAL</v>
      </c>
      <c r="F17" s="61" t="str">
        <f ca="1"/>
        <v>A DEVOLVER</v>
      </c>
    </row>
    <row r="18" spans="1:6" ht="23.25" x14ac:dyDescent="0.35">
      <c r="A18" s="48" t="str" cm="1">
        <f t="array" aca="1" ref="A18:B20" ca="1">_xlfn._xlws.FILTER(Ligero!A11:B104, (Ligero!M11:M104&gt;=15)*(Ligero!M11:M104&lt;=30)*(NOT(ISBLANK(Ligero!M11:M104))), "No hay datos")</f>
        <v>CREDITO NACION</v>
      </c>
      <c r="B18" s="47">
        <f ca="1"/>
        <v>48500000</v>
      </c>
      <c r="C18" s="43"/>
      <c r="D18" s="62" t="str">
        <f ca="1"/>
        <v>CREDITO TARJETA AGRONACION</v>
      </c>
      <c r="E18" s="64">
        <f ca="1"/>
        <v>19900000</v>
      </c>
      <c r="F18" s="64">
        <f ca="1"/>
        <v>25870000</v>
      </c>
    </row>
    <row r="19" spans="1:6" ht="23.25" x14ac:dyDescent="0.35">
      <c r="A19" s="48" t="str">
        <f ca="1"/>
        <v>CREDITO MACRO</v>
      </c>
      <c r="B19" s="47">
        <f ca="1"/>
        <v>25762930</v>
      </c>
      <c r="C19" s="43"/>
      <c r="D19" s="62" t="str">
        <f ca="1"/>
        <v>CREDITO PAMPA cuota 6</v>
      </c>
      <c r="E19" s="64">
        <f ca="1"/>
        <v>3333333.3333333335</v>
      </c>
      <c r="F19" s="64">
        <f ca="1"/>
        <v>3670571</v>
      </c>
    </row>
    <row r="20" spans="1:6" ht="23.25" x14ac:dyDescent="0.35">
      <c r="A20" s="48" t="str">
        <f ca="1"/>
        <v>CREDITO PAMPA cuota 5</v>
      </c>
      <c r="B20" s="47">
        <f ca="1"/>
        <v>3333333.3333333335</v>
      </c>
      <c r="C20" s="43"/>
      <c r="D20" s="62" t="str">
        <f ca="1"/>
        <v>CREDITO GALICIA 1</v>
      </c>
      <c r="E20" s="64">
        <f ca="1"/>
        <v>10000000</v>
      </c>
      <c r="F20" s="64">
        <f ca="1"/>
        <v>12699375.35</v>
      </c>
    </row>
    <row r="21" spans="1:6" ht="23.25" x14ac:dyDescent="0.35">
      <c r="A21" s="48"/>
      <c r="B21" s="47"/>
      <c r="C21" s="43"/>
      <c r="D21" s="62" t="str">
        <f ca="1"/>
        <v>CREDITO GALICIA 2</v>
      </c>
      <c r="E21" s="64">
        <f ca="1"/>
        <v>7500000</v>
      </c>
      <c r="F21" s="64">
        <f ca="1"/>
        <v>9524531.5099999998</v>
      </c>
    </row>
    <row r="22" spans="1:6" ht="23.25" x14ac:dyDescent="0.35">
      <c r="A22" s="48"/>
      <c r="B22" s="47"/>
      <c r="C22" s="43"/>
      <c r="D22" s="62" t="str">
        <f ca="1"/>
        <v>ACUERDO GALICIA</v>
      </c>
      <c r="E22" s="64">
        <f ca="1"/>
        <v>7200000</v>
      </c>
      <c r="F22" s="64">
        <f ca="1"/>
        <v>7200000</v>
      </c>
    </row>
    <row r="23" spans="1:6" ht="23.25" x14ac:dyDescent="0.35">
      <c r="A23" s="49"/>
      <c r="B23" s="50"/>
      <c r="C23" s="43"/>
      <c r="D23" s="62"/>
      <c r="E23" s="64"/>
      <c r="F23" s="64"/>
    </row>
    <row r="24" spans="1:6" ht="23.25" x14ac:dyDescent="0.35">
      <c r="A24" s="49"/>
      <c r="B24" s="50"/>
      <c r="C24" s="43"/>
      <c r="D24" s="62"/>
      <c r="E24" s="64"/>
      <c r="F24" s="64"/>
    </row>
    <row r="25" spans="1:6" ht="23.25" x14ac:dyDescent="0.35">
      <c r="A25" s="49"/>
      <c r="B25" s="50"/>
      <c r="C25" s="43"/>
      <c r="D25" s="62"/>
      <c r="E25" s="64"/>
      <c r="F25" s="64"/>
    </row>
    <row r="26" spans="1:6" ht="23.25" x14ac:dyDescent="0.35">
      <c r="A26" s="49"/>
      <c r="B26" s="50"/>
      <c r="C26" s="43"/>
      <c r="D26" s="62"/>
      <c r="E26" s="64"/>
      <c r="F26" s="64"/>
    </row>
    <row r="27" spans="1:6" ht="23.25" x14ac:dyDescent="0.35">
      <c r="A27" s="51"/>
      <c r="B27" s="51"/>
      <c r="C27" s="45"/>
      <c r="D27" s="62"/>
      <c r="E27" s="64"/>
      <c r="F27" s="64"/>
    </row>
    <row r="28" spans="1:6" ht="23.25" x14ac:dyDescent="0.35">
      <c r="A28" s="51"/>
      <c r="B28" s="51"/>
      <c r="C28" s="45"/>
      <c r="D28" s="62"/>
      <c r="E28" s="64"/>
      <c r="F28" s="64"/>
    </row>
    <row r="29" spans="1:6" ht="23.25" x14ac:dyDescent="0.35">
      <c r="A29" s="51"/>
      <c r="B29" s="51"/>
      <c r="C29" s="45"/>
      <c r="D29" s="62"/>
      <c r="E29" s="64"/>
      <c r="F29" s="64"/>
    </row>
    <row r="30" spans="1:6" ht="23.25" x14ac:dyDescent="0.35">
      <c r="A30" s="51"/>
      <c r="B30" s="51"/>
      <c r="C30" s="45"/>
      <c r="D30" s="62"/>
      <c r="E30" s="64"/>
      <c r="F30" s="64"/>
    </row>
    <row r="31" spans="1:6" ht="18.75" x14ac:dyDescent="0.3">
      <c r="A31" s="44"/>
      <c r="B31" s="44"/>
      <c r="C31" s="45"/>
      <c r="D31" s="62"/>
      <c r="E31" s="65"/>
      <c r="F31" s="65"/>
    </row>
    <row r="32" spans="1:6" ht="18.75" x14ac:dyDescent="0.3">
      <c r="A32" s="44"/>
      <c r="B32" s="44"/>
      <c r="C32" s="45"/>
      <c r="D32" s="62"/>
      <c r="E32" s="65"/>
      <c r="F32" s="65"/>
    </row>
    <row r="33" spans="1:6" ht="18.75" x14ac:dyDescent="0.3">
      <c r="A33" s="44"/>
      <c r="B33" s="44"/>
      <c r="C33" s="45"/>
      <c r="D33" s="62"/>
      <c r="E33" s="65"/>
      <c r="F33" s="65"/>
    </row>
    <row r="34" spans="1:6" ht="18.75" x14ac:dyDescent="0.3">
      <c r="A34" s="44"/>
      <c r="B34" s="44"/>
      <c r="C34" s="45"/>
      <c r="D34" s="62"/>
      <c r="E34" s="65"/>
      <c r="F34" s="65"/>
    </row>
    <row r="35" spans="1:6" ht="18.75" x14ac:dyDescent="0.3">
      <c r="A35" s="44"/>
      <c r="B35" s="44"/>
      <c r="C35" s="45"/>
      <c r="D35" s="62"/>
      <c r="E35" s="65"/>
      <c r="F35" s="65"/>
    </row>
    <row r="36" spans="1:6" ht="18.75" x14ac:dyDescent="0.3">
      <c r="A36" s="66"/>
      <c r="B36" s="66"/>
      <c r="C36" s="45"/>
      <c r="D36" s="62"/>
      <c r="E36" s="65"/>
      <c r="F36" s="65"/>
    </row>
    <row r="37" spans="1:6" ht="18.75" x14ac:dyDescent="0.3">
      <c r="A37" s="66"/>
      <c r="B37" s="66"/>
      <c r="C37" s="45"/>
      <c r="D37" s="62"/>
      <c r="E37" s="65"/>
      <c r="F37" s="65"/>
    </row>
    <row r="38" spans="1:6" ht="18.75" x14ac:dyDescent="0.3">
      <c r="A38" s="66"/>
      <c r="B38" s="66"/>
      <c r="C38" s="45"/>
      <c r="D38" s="62"/>
      <c r="E38" s="65"/>
      <c r="F38" s="65"/>
    </row>
  </sheetData>
  <sheetProtection sheet="1" objects="1" scenarios="1"/>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Z84"/>
  <sheetViews>
    <sheetView showGridLines="0" tabSelected="1" showRuler="0" topLeftCell="A39" zoomScale="80" zoomScaleNormal="80" zoomScalePageLayoutView="70" workbookViewId="0">
      <selection activeCell="D14" sqref="D14"/>
    </sheetView>
  </sheetViews>
  <sheetFormatPr baseColWidth="10" defaultColWidth="8.85546875" defaultRowHeight="30" customHeight="1" x14ac:dyDescent="0.25"/>
  <cols>
    <col min="1" max="1" width="19.28515625" style="73" customWidth="1"/>
    <col min="2" max="2" width="18.7109375" style="73" customWidth="1"/>
    <col min="3" max="3" width="22.42578125" style="73" customWidth="1"/>
    <col min="4" max="4" width="17.42578125" style="73" customWidth="1"/>
    <col min="5" max="5" width="19.85546875" style="73" bestFit="1" customWidth="1"/>
    <col min="6" max="6" width="14.5703125" style="73" hidden="1" customWidth="1"/>
    <col min="7" max="7" width="10" style="73" customWidth="1"/>
    <col min="8" max="8" width="8.5703125" style="73" customWidth="1"/>
    <col min="9" max="9" width="6.42578125" style="73" customWidth="1"/>
    <col min="10" max="10" width="10.85546875" style="74" customWidth="1"/>
    <col min="11" max="11" width="11.7109375" style="74" customWidth="1"/>
    <col min="12" max="12" width="7.7109375" style="73" customWidth="1"/>
    <col min="13" max="13" width="8.140625" style="73" customWidth="1"/>
    <col min="14" max="14" width="11.7109375" style="73" customWidth="1"/>
    <col min="15" max="15" width="2.7109375" customWidth="1"/>
    <col min="16" max="88" width="3.28515625" customWidth="1"/>
  </cols>
  <sheetData>
    <row r="1" spans="1:78" ht="25.15" customHeight="1" x14ac:dyDescent="0.25"/>
    <row r="2" spans="1:78" ht="49.9" customHeight="1" x14ac:dyDescent="0.25">
      <c r="A2" s="179" t="s">
        <v>4</v>
      </c>
      <c r="B2" s="179"/>
      <c r="C2" s="179"/>
      <c r="D2" s="179"/>
      <c r="E2" s="179"/>
      <c r="F2" s="179"/>
      <c r="G2" s="179"/>
      <c r="H2" s="179"/>
      <c r="I2" s="179"/>
      <c r="J2" s="179"/>
      <c r="K2" s="179"/>
      <c r="L2" s="179"/>
      <c r="M2" s="179"/>
      <c r="N2" s="179"/>
      <c r="O2" s="179"/>
      <c r="P2" s="180"/>
      <c r="Q2" s="180"/>
      <c r="R2" s="180"/>
      <c r="S2" s="180"/>
      <c r="T2" s="180"/>
      <c r="U2" s="180"/>
      <c r="V2" s="181"/>
      <c r="W2" s="181"/>
      <c r="X2" s="181"/>
      <c r="Y2" s="181"/>
      <c r="Z2" s="181"/>
      <c r="AA2" s="181"/>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8" ht="19.899999999999999" customHeight="1" x14ac:dyDescent="0.25">
      <c r="A3" s="25"/>
      <c r="B3" s="25"/>
      <c r="C3" s="25"/>
      <c r="D3" s="25"/>
      <c r="E3" s="25"/>
      <c r="F3" s="26"/>
      <c r="G3" s="6"/>
      <c r="H3" s="6"/>
      <c r="I3" s="6"/>
      <c r="J3" s="4"/>
      <c r="K3" s="4"/>
      <c r="L3" s="6"/>
      <c r="M3" s="6"/>
      <c r="N3" s="75"/>
      <c r="O3" s="6"/>
      <c r="P3" s="11"/>
      <c r="Q3" s="1"/>
      <c r="R3" s="1"/>
      <c r="S3" s="1"/>
    </row>
    <row r="4" spans="1:78" ht="30" customHeight="1" x14ac:dyDescent="0.25">
      <c r="A4" s="112" t="s">
        <v>5</v>
      </c>
      <c r="B4" s="112"/>
      <c r="C4" s="112"/>
      <c r="D4" s="112"/>
      <c r="E4" s="113" t="s">
        <v>6</v>
      </c>
      <c r="G4" s="7"/>
      <c r="H4" s="8"/>
      <c r="I4" s="8"/>
      <c r="J4" s="114"/>
      <c r="K4" s="114"/>
      <c r="L4" s="9" t="s">
        <v>7</v>
      </c>
      <c r="M4" s="9"/>
      <c r="N4" s="79"/>
      <c r="O4" s="8"/>
      <c r="P4" s="182" t="s">
        <v>8</v>
      </c>
      <c r="Q4" s="182"/>
      <c r="R4" s="182"/>
      <c r="S4" s="182"/>
      <c r="U4" s="183" t="s">
        <v>9</v>
      </c>
      <c r="V4" s="183"/>
      <c r="W4" s="183"/>
      <c r="X4" s="183"/>
      <c r="Z4" s="184" t="s">
        <v>10</v>
      </c>
      <c r="AA4" s="184"/>
      <c r="AB4" s="184"/>
      <c r="AC4" s="184"/>
      <c r="AE4" s="177" t="s">
        <v>11</v>
      </c>
      <c r="AF4" s="177"/>
      <c r="AG4" s="177"/>
      <c r="AH4" s="177"/>
      <c r="AJ4" s="178" t="s">
        <v>12</v>
      </c>
      <c r="AK4" s="178"/>
      <c r="AL4" s="178"/>
      <c r="AM4" s="178"/>
    </row>
    <row r="5" spans="1:78" ht="30" customHeight="1" x14ac:dyDescent="0.25">
      <c r="A5" s="113" t="s">
        <v>13</v>
      </c>
      <c r="B5" s="113"/>
      <c r="C5" s="113"/>
      <c r="D5" s="113"/>
      <c r="E5" s="115"/>
      <c r="G5" s="7"/>
      <c r="H5" s="8"/>
      <c r="I5" s="8"/>
      <c r="J5" s="114"/>
      <c r="K5" s="114"/>
      <c r="L5" s="8"/>
      <c r="M5" s="8"/>
      <c r="N5" s="78"/>
      <c r="O5" s="8"/>
    </row>
    <row r="6" spans="1:78" ht="30" customHeight="1" x14ac:dyDescent="0.35">
      <c r="A6" s="116" t="s">
        <v>14</v>
      </c>
      <c r="B6" s="116"/>
      <c r="C6" s="116"/>
      <c r="D6" s="116"/>
      <c r="E6" s="117" cm="1">
        <f t="array" aca="1" ref="E6" ca="1">IFERROR(IF(MIN(Hitos4352[FECHA INICIAL])=0,TODAY(),#REF!(Hitos4352[FECHA INICIAL])),TODAY())</f>
        <v>45870</v>
      </c>
      <c r="G6" s="117"/>
      <c r="H6" s="8"/>
      <c r="I6" s="8"/>
      <c r="J6" s="114"/>
      <c r="K6" s="114"/>
      <c r="L6" s="8"/>
      <c r="M6" s="8"/>
      <c r="N6" s="78"/>
      <c r="O6" s="8"/>
      <c r="P6" s="15" t="str">
        <f ca="1">TEXT(P7,"mmmm")</f>
        <v>agosto</v>
      </c>
      <c r="Q6" s="15"/>
      <c r="R6" s="15"/>
      <c r="S6" s="15"/>
      <c r="T6" s="15"/>
      <c r="U6" s="15"/>
      <c r="V6" s="15"/>
      <c r="W6" s="15" t="str">
        <f ca="1">IF(TEXT(W7,"mmmm")=P6,"",TEXT(W7,"mmmm"))</f>
        <v/>
      </c>
      <c r="X6" s="15"/>
      <c r="Y6" s="15"/>
      <c r="Z6" s="15"/>
      <c r="AA6" s="15"/>
      <c r="AB6" s="15"/>
      <c r="AC6" s="15"/>
      <c r="AD6" s="15" t="str">
        <f ca="1">IF(OR(TEXT(AD7,"mmmm")=W6,TEXT(AD7,"mmmm")=P6),"",TEXT(AD7,"mmmm"))</f>
        <v/>
      </c>
      <c r="AE6" s="15"/>
      <c r="AF6" s="15"/>
      <c r="AG6" s="15"/>
      <c r="AH6" s="15"/>
      <c r="AI6" s="15"/>
      <c r="AJ6" s="15"/>
      <c r="AK6" s="15" t="str">
        <f ca="1">IF(OR(TEXT(AK7,"mmmm")=AD6,TEXT(AK7,"mmmm")=W6,TEXT(AK7,"mmmm")=P6),"",TEXT(AK7,"mmmm"))</f>
        <v/>
      </c>
      <c r="AL6" s="15"/>
      <c r="AM6" s="15"/>
      <c r="AN6" s="15"/>
      <c r="AO6" s="15"/>
      <c r="AP6" s="15"/>
      <c r="AQ6" s="15"/>
      <c r="AR6" s="15" t="str">
        <f ca="1">IF(OR(TEXT(AR7,"mmmm")=AK6,TEXT(AR7,"mmmm")=AD6,TEXT(AR7,"mmmm")=W6,TEXT(AR7,"mmmm")=P6),"",TEXT(AR7,"mmmm"))</f>
        <v/>
      </c>
      <c r="AS6" s="15"/>
      <c r="AT6" s="15"/>
      <c r="AU6" s="15"/>
      <c r="AV6" s="15"/>
      <c r="AW6" s="15"/>
      <c r="AX6" s="15"/>
      <c r="AY6" s="15" t="str">
        <f ca="1">IF(OR(TEXT(AY7,"mmmm")=AR6,TEXT(AY7,"mmmm")=AK6,TEXT(AY7,"mmmm")=AD6,TEXT(AY7,"mmmm")=W6),"",TEXT(AY7,"mmmm"))</f>
        <v>septiembre</v>
      </c>
      <c r="AZ6" s="15"/>
      <c r="BA6" s="15"/>
      <c r="BB6" s="15"/>
      <c r="BC6" s="15"/>
      <c r="BD6" s="15"/>
      <c r="BE6" s="16"/>
      <c r="BF6" s="16" t="str">
        <f ca="1">IF(OR(TEXT(BF7,"mmmm")=AY6,TEXT(BF7,"mmmm")=AR6,TEXT(BF7,"mmmm")=AK6,TEXT(BF7,"mmmm")=AD6),"",TEXT(BF7,"mmmm"))</f>
        <v/>
      </c>
      <c r="BG6" s="16"/>
      <c r="BH6" s="16"/>
      <c r="BI6" s="17"/>
      <c r="BJ6" s="14"/>
      <c r="BK6" s="14"/>
      <c r="BL6" s="14"/>
      <c r="BM6" s="14" t="str">
        <f ca="1">IF(OR(TEXT(BM7,"mmmm")=BF6,TEXT(BM7,"mmmm")=AY6,TEXT(BM7,"mmmm")=AR6,TEXT(BM7,"mmmm")=AK6),"",TEXT(BM7,"mmmm"))</f>
        <v/>
      </c>
      <c r="BN6" s="14"/>
      <c r="BO6" s="14"/>
      <c r="BP6" s="14"/>
      <c r="BQ6" s="14"/>
      <c r="BR6" s="14"/>
      <c r="BS6" s="14"/>
    </row>
    <row r="7" spans="1:78" ht="30" customHeight="1" x14ac:dyDescent="0.25">
      <c r="A7" s="116" t="s">
        <v>15</v>
      </c>
      <c r="B7" s="116"/>
      <c r="C7" s="116"/>
      <c r="D7" s="116"/>
      <c r="E7" s="118">
        <v>1</v>
      </c>
      <c r="G7" s="7"/>
      <c r="H7" s="8"/>
      <c r="I7" s="8"/>
      <c r="J7" s="8"/>
      <c r="K7" s="8"/>
      <c r="L7" s="8"/>
      <c r="M7" s="8"/>
      <c r="N7" s="78"/>
      <c r="O7" s="10"/>
      <c r="P7" s="19">
        <f ca="1">IFERROR(Inicio_del_proyecto+Incremento_de_desplazamiento,TODAY())</f>
        <v>45871</v>
      </c>
      <c r="Q7" s="20">
        <f ca="1">P7+1</f>
        <v>45872</v>
      </c>
      <c r="R7" s="20">
        <f t="shared" ref="R7:BE7" ca="1" si="0">Q7+1</f>
        <v>45873</v>
      </c>
      <c r="S7" s="20">
        <f t="shared" ca="1" si="0"/>
        <v>45874</v>
      </c>
      <c r="T7" s="20">
        <f t="shared" ca="1" si="0"/>
        <v>45875</v>
      </c>
      <c r="U7" s="20">
        <f t="shared" ca="1" si="0"/>
        <v>45876</v>
      </c>
      <c r="V7" s="21">
        <f t="shared" ca="1" si="0"/>
        <v>45877</v>
      </c>
      <c r="W7" s="20">
        <f ca="1">V7+1</f>
        <v>45878</v>
      </c>
      <c r="X7" s="20">
        <f ca="1">W7+1</f>
        <v>45879</v>
      </c>
      <c r="Y7" s="20">
        <f t="shared" ca="1" si="0"/>
        <v>45880</v>
      </c>
      <c r="Z7" s="20">
        <f t="shared" ca="1" si="0"/>
        <v>45881</v>
      </c>
      <c r="AA7" s="20">
        <f t="shared" ca="1" si="0"/>
        <v>45882</v>
      </c>
      <c r="AB7" s="20">
        <f t="shared" ca="1" si="0"/>
        <v>45883</v>
      </c>
      <c r="AC7" s="21">
        <f t="shared" ca="1" si="0"/>
        <v>45884</v>
      </c>
      <c r="AD7" s="20">
        <f ca="1">AC7+1</f>
        <v>45885</v>
      </c>
      <c r="AE7" s="20">
        <f ca="1">AD7+1</f>
        <v>45886</v>
      </c>
      <c r="AF7" s="20">
        <f t="shared" ca="1" si="0"/>
        <v>45887</v>
      </c>
      <c r="AG7" s="20">
        <f t="shared" ca="1" si="0"/>
        <v>45888</v>
      </c>
      <c r="AH7" s="20">
        <f t="shared" ca="1" si="0"/>
        <v>45889</v>
      </c>
      <c r="AI7" s="20">
        <f t="shared" ca="1" si="0"/>
        <v>45890</v>
      </c>
      <c r="AJ7" s="21">
        <f t="shared" ca="1" si="0"/>
        <v>45891</v>
      </c>
      <c r="AK7" s="20">
        <f ca="1">AJ7+1</f>
        <v>45892</v>
      </c>
      <c r="AL7" s="20">
        <f ca="1">AK7+1</f>
        <v>45893</v>
      </c>
      <c r="AM7" s="20">
        <f t="shared" ca="1" si="0"/>
        <v>45894</v>
      </c>
      <c r="AN7" s="20">
        <f t="shared" ca="1" si="0"/>
        <v>45895</v>
      </c>
      <c r="AO7" s="20">
        <f t="shared" ca="1" si="0"/>
        <v>45896</v>
      </c>
      <c r="AP7" s="20">
        <f t="shared" ca="1" si="0"/>
        <v>45897</v>
      </c>
      <c r="AQ7" s="21">
        <f t="shared" ca="1" si="0"/>
        <v>45898</v>
      </c>
      <c r="AR7" s="20">
        <f ca="1">AQ7+1</f>
        <v>45899</v>
      </c>
      <c r="AS7" s="20">
        <f ca="1">AR7+1</f>
        <v>45900</v>
      </c>
      <c r="AT7" s="20">
        <f t="shared" ca="1" si="0"/>
        <v>45901</v>
      </c>
      <c r="AU7" s="20">
        <f t="shared" ca="1" si="0"/>
        <v>45902</v>
      </c>
      <c r="AV7" s="20">
        <f t="shared" ca="1" si="0"/>
        <v>45903</v>
      </c>
      <c r="AW7" s="20">
        <f t="shared" ca="1" si="0"/>
        <v>45904</v>
      </c>
      <c r="AX7" s="21">
        <f t="shared" ca="1" si="0"/>
        <v>45905</v>
      </c>
      <c r="AY7" s="20">
        <f ca="1">AX7+1</f>
        <v>45906</v>
      </c>
      <c r="AZ7" s="20">
        <f ca="1">AY7+1</f>
        <v>45907</v>
      </c>
      <c r="BA7" s="20">
        <f t="shared" ca="1" si="0"/>
        <v>45908</v>
      </c>
      <c r="BB7" s="20">
        <f t="shared" ca="1" si="0"/>
        <v>45909</v>
      </c>
      <c r="BC7" s="20">
        <f t="shared" ca="1" si="0"/>
        <v>45910</v>
      </c>
      <c r="BD7" s="20">
        <f t="shared" ca="1" si="0"/>
        <v>45911</v>
      </c>
      <c r="BE7" s="21">
        <f t="shared" ca="1" si="0"/>
        <v>45912</v>
      </c>
      <c r="BF7" s="20">
        <f ca="1">BE7+1</f>
        <v>45913</v>
      </c>
      <c r="BG7" s="20">
        <f ca="1">BF7+1</f>
        <v>45914</v>
      </c>
      <c r="BH7" s="20">
        <f t="shared" ref="BH7:BL7" ca="1" si="1">BG7+1</f>
        <v>45915</v>
      </c>
      <c r="BI7" s="20">
        <f t="shared" ca="1" si="1"/>
        <v>45916</v>
      </c>
      <c r="BJ7" s="20">
        <f t="shared" ca="1" si="1"/>
        <v>45917</v>
      </c>
      <c r="BK7" s="20">
        <f t="shared" ca="1" si="1"/>
        <v>45918</v>
      </c>
      <c r="BL7" s="21">
        <f t="shared" ca="1" si="1"/>
        <v>45919</v>
      </c>
      <c r="BM7" s="20">
        <f ca="1">BL7+1</f>
        <v>45920</v>
      </c>
      <c r="BN7" s="20">
        <f ca="1">BM7+1</f>
        <v>45921</v>
      </c>
      <c r="BO7" s="20">
        <f t="shared" ref="BO7:BS7" ca="1" si="2">BN7+1</f>
        <v>45922</v>
      </c>
      <c r="BP7" s="20">
        <f t="shared" ca="1" si="2"/>
        <v>45923</v>
      </c>
      <c r="BQ7" s="20">
        <f t="shared" ca="1" si="2"/>
        <v>45924</v>
      </c>
      <c r="BR7" s="20">
        <f t="shared" ca="1" si="2"/>
        <v>45925</v>
      </c>
      <c r="BS7" s="21">
        <f t="shared" ca="1" si="2"/>
        <v>45926</v>
      </c>
    </row>
    <row r="8" spans="1:78" ht="19.899999999999999" customHeight="1" x14ac:dyDescent="0.25">
      <c r="A8" s="116" t="s">
        <v>16</v>
      </c>
      <c r="B8" s="7"/>
      <c r="C8" s="7"/>
      <c r="D8" s="7"/>
      <c r="E8" s="119">
        <v>1137</v>
      </c>
      <c r="G8" s="7"/>
      <c r="H8" s="8"/>
      <c r="I8" s="8"/>
      <c r="J8" s="8"/>
      <c r="K8" s="8"/>
      <c r="L8" s="8"/>
      <c r="M8" s="8"/>
      <c r="N8" s="78"/>
      <c r="O8" s="10"/>
      <c r="P8" s="22"/>
      <c r="Q8" s="23"/>
      <c r="R8" s="23"/>
      <c r="S8" s="23"/>
      <c r="T8" s="23"/>
      <c r="U8" s="23"/>
      <c r="V8" s="23"/>
      <c r="W8" s="22"/>
      <c r="X8" s="23"/>
      <c r="Y8" s="23"/>
      <c r="Z8" s="23"/>
      <c r="AA8" s="23"/>
      <c r="AB8" s="23"/>
      <c r="AC8" s="24"/>
      <c r="AD8" s="23"/>
      <c r="AE8" s="23"/>
      <c r="AF8" s="23"/>
      <c r="AG8" s="23"/>
      <c r="AH8" s="23"/>
      <c r="AI8" s="23"/>
      <c r="AJ8" s="24"/>
      <c r="AK8" s="23"/>
      <c r="AL8" s="23"/>
      <c r="AM8" s="23"/>
      <c r="AN8" s="23"/>
      <c r="AO8" s="23"/>
      <c r="AP8" s="23"/>
      <c r="AQ8" s="24"/>
      <c r="AR8" s="23"/>
      <c r="AS8" s="23"/>
      <c r="AT8" s="23"/>
      <c r="AU8" s="23"/>
      <c r="AV8" s="23"/>
      <c r="AW8" s="23"/>
      <c r="AX8" s="24"/>
      <c r="AY8" s="23"/>
      <c r="AZ8" s="23"/>
      <c r="BA8" s="23"/>
      <c r="BB8" s="23"/>
      <c r="BC8" s="23"/>
      <c r="BD8" s="23"/>
      <c r="BE8" s="24"/>
      <c r="BF8" s="23"/>
      <c r="BG8" s="23"/>
      <c r="BH8" s="23"/>
      <c r="BI8" s="23"/>
      <c r="BJ8" s="23"/>
      <c r="BK8" s="23"/>
      <c r="BL8" s="24"/>
      <c r="BM8" s="23"/>
      <c r="BN8" s="23"/>
      <c r="BO8" s="23"/>
      <c r="BP8" s="23"/>
      <c r="BQ8" s="23"/>
      <c r="BR8" s="23"/>
      <c r="BS8" s="24"/>
    </row>
    <row r="9" spans="1:78" ht="19.899999999999999" customHeight="1" x14ac:dyDescent="0.25">
      <c r="A9" s="116" t="s">
        <v>17</v>
      </c>
      <c r="B9" s="7"/>
      <c r="C9" s="7"/>
      <c r="D9" s="7"/>
      <c r="E9" s="120">
        <f ca="1">TODAY()</f>
        <v>45870</v>
      </c>
      <c r="G9" s="7"/>
      <c r="H9" s="8"/>
      <c r="I9" s="8"/>
      <c r="J9" s="8"/>
      <c r="K9" s="8"/>
      <c r="L9" s="8"/>
      <c r="M9" s="8"/>
      <c r="N9" s="78"/>
      <c r="O9" s="8"/>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37"/>
      <c r="BT9" s="38"/>
      <c r="BU9" s="38"/>
      <c r="BV9" s="38"/>
      <c r="BW9" s="38"/>
      <c r="BX9" s="38"/>
      <c r="BY9" s="38"/>
      <c r="BZ9" s="38"/>
    </row>
    <row r="10" spans="1:78" ht="19.899999999999999" customHeight="1" x14ac:dyDescent="0.25">
      <c r="A10" s="80"/>
      <c r="B10" s="77"/>
      <c r="C10" s="77"/>
      <c r="D10" s="77"/>
      <c r="E10" s="77"/>
      <c r="F10" s="81"/>
      <c r="G10" s="77"/>
      <c r="H10" s="78"/>
      <c r="I10" s="78"/>
      <c r="J10" s="78"/>
      <c r="K10" s="78"/>
      <c r="L10" s="78"/>
      <c r="M10" s="78"/>
      <c r="N10" s="78"/>
      <c r="O10" s="8"/>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37"/>
      <c r="BT10" s="38"/>
      <c r="BU10" s="38"/>
      <c r="BV10" s="38"/>
      <c r="BW10" s="38"/>
      <c r="BX10" s="38"/>
      <c r="BY10" s="38"/>
      <c r="BZ10" s="38"/>
    </row>
    <row r="11" spans="1:78" ht="40.15" customHeight="1" x14ac:dyDescent="0.25">
      <c r="A11" s="82" t="s">
        <v>18</v>
      </c>
      <c r="B11" s="82" t="s">
        <v>19</v>
      </c>
      <c r="C11" s="82" t="s">
        <v>20</v>
      </c>
      <c r="D11" s="83" t="s">
        <v>21</v>
      </c>
      <c r="E11" s="83" t="s">
        <v>22</v>
      </c>
      <c r="F11" s="84" t="s">
        <v>23</v>
      </c>
      <c r="G11" s="84" t="s">
        <v>24</v>
      </c>
      <c r="H11" s="84" t="s">
        <v>25</v>
      </c>
      <c r="I11" s="84" t="s">
        <v>26</v>
      </c>
      <c r="J11" s="84" t="s">
        <v>27</v>
      </c>
      <c r="K11" s="84" t="s">
        <v>28</v>
      </c>
      <c r="L11" s="84" t="s">
        <v>29</v>
      </c>
      <c r="M11" s="84" t="s">
        <v>30</v>
      </c>
      <c r="N11" s="84" t="s">
        <v>31</v>
      </c>
      <c r="O11" s="13"/>
      <c r="P11" s="39" t="str">
        <f t="shared" ref="P11:BS11" ca="1" si="3">LEFT(TEXT(P7,"ddd"),1)</f>
        <v>s</v>
      </c>
      <c r="Q11" s="39" t="str">
        <f t="shared" ca="1" si="3"/>
        <v>d</v>
      </c>
      <c r="R11" s="39" t="str">
        <f t="shared" ca="1" si="3"/>
        <v>l</v>
      </c>
      <c r="S11" s="39" t="str">
        <f t="shared" ca="1" si="3"/>
        <v>m</v>
      </c>
      <c r="T11" s="39" t="str">
        <f t="shared" ca="1" si="3"/>
        <v>m</v>
      </c>
      <c r="U11" s="39" t="str">
        <f t="shared" ca="1" si="3"/>
        <v>j</v>
      </c>
      <c r="V11" s="39" t="str">
        <f t="shared" ca="1" si="3"/>
        <v>v</v>
      </c>
      <c r="W11" s="39" t="str">
        <f t="shared" ca="1" si="3"/>
        <v>s</v>
      </c>
      <c r="X11" s="39" t="str">
        <f t="shared" ca="1" si="3"/>
        <v>d</v>
      </c>
      <c r="Y11" s="39" t="str">
        <f t="shared" ca="1" si="3"/>
        <v>l</v>
      </c>
      <c r="Z11" s="39" t="str">
        <f t="shared" ca="1" si="3"/>
        <v>m</v>
      </c>
      <c r="AA11" s="39" t="str">
        <f t="shared" ca="1" si="3"/>
        <v>m</v>
      </c>
      <c r="AB11" s="39" t="str">
        <f t="shared" ca="1" si="3"/>
        <v>j</v>
      </c>
      <c r="AC11" s="39" t="str">
        <f t="shared" ca="1" si="3"/>
        <v>v</v>
      </c>
      <c r="AD11" s="39" t="str">
        <f t="shared" ca="1" si="3"/>
        <v>s</v>
      </c>
      <c r="AE11" s="39" t="str">
        <f t="shared" ca="1" si="3"/>
        <v>d</v>
      </c>
      <c r="AF11" s="39" t="str">
        <f t="shared" ca="1" si="3"/>
        <v>l</v>
      </c>
      <c r="AG11" s="39" t="str">
        <f t="shared" ca="1" si="3"/>
        <v>m</v>
      </c>
      <c r="AH11" s="39" t="str">
        <f t="shared" ca="1" si="3"/>
        <v>m</v>
      </c>
      <c r="AI11" s="39" t="str">
        <f t="shared" ca="1" si="3"/>
        <v>j</v>
      </c>
      <c r="AJ11" s="39" t="str">
        <f t="shared" ca="1" si="3"/>
        <v>v</v>
      </c>
      <c r="AK11" s="39" t="str">
        <f t="shared" ca="1" si="3"/>
        <v>s</v>
      </c>
      <c r="AL11" s="39" t="str">
        <f t="shared" ca="1" si="3"/>
        <v>d</v>
      </c>
      <c r="AM11" s="39" t="str">
        <f t="shared" ca="1" si="3"/>
        <v>l</v>
      </c>
      <c r="AN11" s="39" t="str">
        <f t="shared" ca="1" si="3"/>
        <v>m</v>
      </c>
      <c r="AO11" s="39" t="str">
        <f t="shared" ca="1" si="3"/>
        <v>m</v>
      </c>
      <c r="AP11" s="39" t="str">
        <f t="shared" ca="1" si="3"/>
        <v>j</v>
      </c>
      <c r="AQ11" s="39" t="str">
        <f t="shared" ca="1" si="3"/>
        <v>v</v>
      </c>
      <c r="AR11" s="39" t="str">
        <f t="shared" ca="1" si="3"/>
        <v>s</v>
      </c>
      <c r="AS11" s="39" t="str">
        <f t="shared" ca="1" si="3"/>
        <v>d</v>
      </c>
      <c r="AT11" s="39" t="str">
        <f t="shared" ca="1" si="3"/>
        <v>l</v>
      </c>
      <c r="AU11" s="39" t="str">
        <f t="shared" ca="1" si="3"/>
        <v>m</v>
      </c>
      <c r="AV11" s="39" t="str">
        <f t="shared" ca="1" si="3"/>
        <v>m</v>
      </c>
      <c r="AW11" s="39" t="str">
        <f t="shared" ca="1" si="3"/>
        <v>j</v>
      </c>
      <c r="AX11" s="39" t="str">
        <f t="shared" ca="1" si="3"/>
        <v>v</v>
      </c>
      <c r="AY11" s="39" t="str">
        <f t="shared" ca="1" si="3"/>
        <v>s</v>
      </c>
      <c r="AZ11" s="39" t="str">
        <f t="shared" ca="1" si="3"/>
        <v>d</v>
      </c>
      <c r="BA11" s="39" t="str">
        <f t="shared" ca="1" si="3"/>
        <v>l</v>
      </c>
      <c r="BB11" s="39" t="str">
        <f t="shared" ca="1" si="3"/>
        <v>m</v>
      </c>
      <c r="BC11" s="39" t="str">
        <f t="shared" ca="1" si="3"/>
        <v>m</v>
      </c>
      <c r="BD11" s="39" t="str">
        <f t="shared" ca="1" si="3"/>
        <v>j</v>
      </c>
      <c r="BE11" s="39" t="str">
        <f t="shared" ca="1" si="3"/>
        <v>v</v>
      </c>
      <c r="BF11" s="39" t="str">
        <f t="shared" ca="1" si="3"/>
        <v>s</v>
      </c>
      <c r="BG11" s="39" t="str">
        <f t="shared" ca="1" si="3"/>
        <v>d</v>
      </c>
      <c r="BH11" s="39" t="str">
        <f t="shared" ca="1" si="3"/>
        <v>l</v>
      </c>
      <c r="BI11" s="39" t="str">
        <f t="shared" ca="1" si="3"/>
        <v>m</v>
      </c>
      <c r="BJ11" s="39" t="str">
        <f t="shared" ca="1" si="3"/>
        <v>m</v>
      </c>
      <c r="BK11" s="39" t="str">
        <f t="shared" ca="1" si="3"/>
        <v>j</v>
      </c>
      <c r="BL11" s="39" t="str">
        <f t="shared" ca="1" si="3"/>
        <v>v</v>
      </c>
      <c r="BM11" s="39" t="str">
        <f t="shared" ca="1" si="3"/>
        <v>s</v>
      </c>
      <c r="BN11" s="39" t="str">
        <f t="shared" ca="1" si="3"/>
        <v>d</v>
      </c>
      <c r="BO11" s="39" t="str">
        <f t="shared" ca="1" si="3"/>
        <v>l</v>
      </c>
      <c r="BP11" s="39" t="str">
        <f t="shared" ca="1" si="3"/>
        <v>m</v>
      </c>
      <c r="BQ11" s="39" t="str">
        <f t="shared" ca="1" si="3"/>
        <v>m</v>
      </c>
      <c r="BR11" s="39" t="str">
        <f t="shared" ca="1" si="3"/>
        <v>j</v>
      </c>
      <c r="BS11" s="18" t="str">
        <f t="shared" ca="1" si="3"/>
        <v>v</v>
      </c>
    </row>
    <row r="12" spans="1:78" s="1" customFormat="1" ht="40.15" customHeight="1" x14ac:dyDescent="0.25">
      <c r="A12" s="85" t="s">
        <v>32</v>
      </c>
      <c r="B12" s="86">
        <f>SUM(B13:B20)</f>
        <v>189276263.33333334</v>
      </c>
      <c r="C12" s="86">
        <f>SUM(C13:C20)</f>
        <v>241604116.91</v>
      </c>
      <c r="D12" s="87">
        <f>SUM(D13:D20)</f>
        <v>189996.26333333334</v>
      </c>
      <c r="E12" s="87">
        <f>SUM(E13:E20)</f>
        <v>219158.11907664029</v>
      </c>
      <c r="F12" s="76"/>
      <c r="G12" s="76"/>
      <c r="H12" s="88"/>
      <c r="I12" s="88"/>
      <c r="J12" s="89"/>
      <c r="K12" s="89"/>
      <c r="L12" s="90"/>
      <c r="M12" s="90"/>
      <c r="N12" s="90"/>
      <c r="O12" s="4"/>
      <c r="P12" s="3" t="str">
        <f t="shared" ref="P12:Y17" ca="1" si="4">IF(AND($F12="Objetivo",P$7&gt;=$J12,P$7&lt;=$J12+$L12-1),2,IF(AND($F12="Hito",P$7&gt;=$J12,P$7&lt;=$J12+$L12-1),1,""))</f>
        <v/>
      </c>
      <c r="Q12" s="3" t="str">
        <f t="shared" ca="1" si="4"/>
        <v/>
      </c>
      <c r="R12" s="3" t="str">
        <f t="shared" ca="1" si="4"/>
        <v/>
      </c>
      <c r="S12" s="3" t="str">
        <f t="shared" ca="1" si="4"/>
        <v/>
      </c>
      <c r="T12" s="3" t="str">
        <f t="shared" ca="1" si="4"/>
        <v/>
      </c>
      <c r="U12" s="3" t="str">
        <f t="shared" ca="1" si="4"/>
        <v/>
      </c>
      <c r="V12" s="3" t="str">
        <f t="shared" ca="1" si="4"/>
        <v/>
      </c>
      <c r="W12" s="3" t="str">
        <f t="shared" ca="1" si="4"/>
        <v/>
      </c>
      <c r="X12" s="3" t="str">
        <f t="shared" ca="1" si="4"/>
        <v/>
      </c>
      <c r="Y12" s="3" t="str">
        <f t="shared" ca="1" si="4"/>
        <v/>
      </c>
      <c r="Z12" s="3" t="str">
        <f t="shared" ref="Z12:AI17" ca="1" si="5">IF(AND($F12="Objetivo",Z$7&gt;=$J12,Z$7&lt;=$J12+$L12-1),2,IF(AND($F12="Hito",Z$7&gt;=$J12,Z$7&lt;=$J12+$L12-1),1,""))</f>
        <v/>
      </c>
      <c r="AA12" s="3" t="str">
        <f t="shared" ca="1" si="5"/>
        <v/>
      </c>
      <c r="AB12" s="3" t="str">
        <f t="shared" ca="1" si="5"/>
        <v/>
      </c>
      <c r="AC12" s="3" t="str">
        <f t="shared" ca="1" si="5"/>
        <v/>
      </c>
      <c r="AD12" s="3" t="str">
        <f t="shared" ca="1" si="5"/>
        <v/>
      </c>
      <c r="AE12" s="3" t="str">
        <f t="shared" ca="1" si="5"/>
        <v/>
      </c>
      <c r="AF12" s="3" t="str">
        <f t="shared" ca="1" si="5"/>
        <v/>
      </c>
      <c r="AG12" s="3" t="str">
        <f t="shared" ca="1" si="5"/>
        <v/>
      </c>
      <c r="AH12" s="3" t="str">
        <f t="shared" ca="1" si="5"/>
        <v/>
      </c>
      <c r="AI12" s="3" t="str">
        <f t="shared" ca="1" si="5"/>
        <v/>
      </c>
      <c r="AJ12" s="3" t="str">
        <f t="shared" ref="AJ12:AS17" ca="1" si="6">IF(AND($F12="Objetivo",AJ$7&gt;=$J12,AJ$7&lt;=$J12+$L12-1),2,IF(AND($F12="Hito",AJ$7&gt;=$J12,AJ$7&lt;=$J12+$L12-1),1,""))</f>
        <v/>
      </c>
      <c r="AK12" s="3" t="str">
        <f t="shared" ca="1" si="6"/>
        <v/>
      </c>
      <c r="AL12" s="3" t="str">
        <f t="shared" ca="1" si="6"/>
        <v/>
      </c>
      <c r="AM12" s="3" t="str">
        <f t="shared" ca="1" si="6"/>
        <v/>
      </c>
      <c r="AN12" s="3" t="str">
        <f t="shared" ca="1" si="6"/>
        <v/>
      </c>
      <c r="AO12" s="3" t="str">
        <f t="shared" ca="1" si="6"/>
        <v/>
      </c>
      <c r="AP12" s="3" t="str">
        <f t="shared" ca="1" si="6"/>
        <v/>
      </c>
      <c r="AQ12" s="3" t="str">
        <f t="shared" ca="1" si="6"/>
        <v/>
      </c>
      <c r="AR12" s="3" t="str">
        <f t="shared" ca="1" si="6"/>
        <v/>
      </c>
      <c r="AS12" s="3" t="str">
        <f t="shared" ca="1" si="6"/>
        <v/>
      </c>
      <c r="AT12" s="3" t="str">
        <f t="shared" ref="AT12:BC17" ca="1" si="7">IF(AND($F12="Objetivo",AT$7&gt;=$J12,AT$7&lt;=$J12+$L12-1),2,IF(AND($F12="Hito",AT$7&gt;=$J12,AT$7&lt;=$J12+$L12-1),1,""))</f>
        <v/>
      </c>
      <c r="AU12" s="3" t="str">
        <f t="shared" ca="1" si="7"/>
        <v/>
      </c>
      <c r="AV12" s="3" t="str">
        <f t="shared" ca="1" si="7"/>
        <v/>
      </c>
      <c r="AW12" s="3" t="str">
        <f t="shared" ca="1" si="7"/>
        <v/>
      </c>
      <c r="AX12" s="3" t="str">
        <f t="shared" ca="1" si="7"/>
        <v/>
      </c>
      <c r="AY12" s="3" t="str">
        <f t="shared" ca="1" si="7"/>
        <v/>
      </c>
      <c r="AZ12" s="3" t="str">
        <f t="shared" ca="1" si="7"/>
        <v/>
      </c>
      <c r="BA12" s="3" t="str">
        <f t="shared" ca="1" si="7"/>
        <v/>
      </c>
      <c r="BB12" s="3" t="str">
        <f t="shared" ca="1" si="7"/>
        <v/>
      </c>
      <c r="BC12" s="3" t="str">
        <f t="shared" ca="1" si="7"/>
        <v/>
      </c>
      <c r="BD12" s="3" t="str">
        <f t="shared" ref="BD12:BM17" ca="1" si="8">IF(AND($F12="Objetivo",BD$7&gt;=$J12,BD$7&lt;=$J12+$L12-1),2,IF(AND($F12="Hito",BD$7&gt;=$J12,BD$7&lt;=$J12+$L12-1),1,""))</f>
        <v/>
      </c>
      <c r="BE12" s="3" t="str">
        <f t="shared" ca="1" si="8"/>
        <v/>
      </c>
      <c r="BF12" s="3" t="str">
        <f t="shared" ca="1" si="8"/>
        <v/>
      </c>
      <c r="BG12" s="3" t="str">
        <f t="shared" ca="1" si="8"/>
        <v/>
      </c>
      <c r="BH12" s="3" t="str">
        <f t="shared" ca="1" si="8"/>
        <v/>
      </c>
      <c r="BI12" s="3" t="str">
        <f t="shared" ca="1" si="8"/>
        <v/>
      </c>
      <c r="BJ12" s="3" t="str">
        <f t="shared" ca="1" si="8"/>
        <v/>
      </c>
      <c r="BK12" s="3" t="str">
        <f t="shared" ca="1" si="8"/>
        <v/>
      </c>
      <c r="BL12" s="3" t="str">
        <f t="shared" ca="1" si="8"/>
        <v/>
      </c>
      <c r="BM12" s="3" t="str">
        <f t="shared" ca="1" si="8"/>
        <v/>
      </c>
      <c r="BN12" s="3" t="str">
        <f t="shared" ref="BN12:BS17" ca="1" si="9">IF(AND($F12="Objetivo",BN$7&gt;=$J12,BN$7&lt;=$J12+$L12-1),2,IF(AND($F12="Hito",BN$7&gt;=$J12,BN$7&lt;=$J12+$L12-1),1,""))</f>
        <v/>
      </c>
      <c r="BO12" s="3" t="str">
        <f t="shared" ca="1" si="9"/>
        <v/>
      </c>
      <c r="BP12" s="3" t="str">
        <f t="shared" ca="1" si="9"/>
        <v/>
      </c>
      <c r="BQ12" s="3" t="str">
        <f t="shared" ca="1" si="9"/>
        <v/>
      </c>
      <c r="BR12" s="3" t="str">
        <f t="shared" ca="1" si="9"/>
        <v/>
      </c>
      <c r="BS12" s="3" t="str">
        <f t="shared" ca="1" si="9"/>
        <v/>
      </c>
    </row>
    <row r="13" spans="1:78" s="1" customFormat="1" ht="40.15" customHeight="1" x14ac:dyDescent="0.25">
      <c r="A13" s="130" t="s">
        <v>33</v>
      </c>
      <c r="B13" s="131">
        <v>17500000</v>
      </c>
      <c r="C13" s="131">
        <v>22882213.690000001</v>
      </c>
      <c r="D13" s="132">
        <f>Hitos4352[[#This Row],[MONTO INICIAL]]/1000</f>
        <v>17500</v>
      </c>
      <c r="E13" s="132">
        <f>Hitos4352[[#This Row],[A DEVOLVER]]/$E$8</f>
        <v>20125.078003518032</v>
      </c>
      <c r="F13" s="133" t="s">
        <v>10</v>
      </c>
      <c r="G13" s="133" t="s">
        <v>34</v>
      </c>
      <c r="H13" s="134">
        <v>0.3</v>
      </c>
      <c r="I13" s="135">
        <v>0.01</v>
      </c>
      <c r="J13" s="136">
        <v>45567</v>
      </c>
      <c r="K13" s="140">
        <v>45749</v>
      </c>
      <c r="L13" s="137">
        <f>Hitos4352[[#This Row],[FECHA FINAL]]-Hitos4352[[#This Row],[FECHA INICIAL]]</f>
        <v>182</v>
      </c>
      <c r="M13" s="141"/>
      <c r="N13" s="137" t="s">
        <v>35</v>
      </c>
      <c r="O13" s="4"/>
      <c r="P13" s="3" t="str">
        <f t="shared" ca="1" si="4"/>
        <v/>
      </c>
      <c r="Q13" s="3" t="str">
        <f t="shared" ca="1" si="4"/>
        <v/>
      </c>
      <c r="R13" s="3" t="str">
        <f t="shared" ca="1" si="4"/>
        <v/>
      </c>
      <c r="S13" s="3" t="str">
        <f t="shared" ca="1" si="4"/>
        <v/>
      </c>
      <c r="T13" s="3" t="str">
        <f t="shared" ca="1" si="4"/>
        <v/>
      </c>
      <c r="U13" s="3" t="str">
        <f t="shared" ca="1" si="4"/>
        <v/>
      </c>
      <c r="V13" s="3" t="str">
        <f t="shared" ca="1" si="4"/>
        <v/>
      </c>
      <c r="W13" s="3" t="str">
        <f t="shared" ca="1" si="4"/>
        <v/>
      </c>
      <c r="X13" s="3" t="str">
        <f t="shared" ca="1" si="4"/>
        <v/>
      </c>
      <c r="Y13" s="3" t="str">
        <f t="shared" ca="1" si="4"/>
        <v/>
      </c>
      <c r="Z13" s="3" t="str">
        <f t="shared" ca="1" si="5"/>
        <v/>
      </c>
      <c r="AA13" s="3" t="str">
        <f t="shared" ca="1" si="5"/>
        <v/>
      </c>
      <c r="AB13" s="3" t="str">
        <f t="shared" ca="1" si="5"/>
        <v/>
      </c>
      <c r="AC13" s="3" t="str">
        <f t="shared" ca="1" si="5"/>
        <v/>
      </c>
      <c r="AD13" s="3" t="str">
        <f t="shared" ca="1" si="5"/>
        <v/>
      </c>
      <c r="AE13" s="3" t="str">
        <f t="shared" ca="1" si="5"/>
        <v/>
      </c>
      <c r="AF13" s="3" t="str">
        <f t="shared" ca="1" si="5"/>
        <v/>
      </c>
      <c r="AG13" s="3" t="str">
        <f t="shared" ca="1" si="5"/>
        <v/>
      </c>
      <c r="AH13" s="3" t="str">
        <f t="shared" ca="1" si="5"/>
        <v/>
      </c>
      <c r="AI13" s="3" t="str">
        <f t="shared" ca="1" si="5"/>
        <v/>
      </c>
      <c r="AJ13" s="3" t="str">
        <f t="shared" ca="1" si="6"/>
        <v/>
      </c>
      <c r="AK13" s="3" t="str">
        <f t="shared" ca="1" si="6"/>
        <v/>
      </c>
      <c r="AL13" s="3" t="str">
        <f t="shared" ca="1" si="6"/>
        <v/>
      </c>
      <c r="AM13" s="3" t="str">
        <f t="shared" ca="1" si="6"/>
        <v/>
      </c>
      <c r="AN13" s="3" t="str">
        <f t="shared" ca="1" si="6"/>
        <v/>
      </c>
      <c r="AO13" s="3" t="str">
        <f t="shared" ca="1" si="6"/>
        <v/>
      </c>
      <c r="AP13" s="3" t="str">
        <f t="shared" ca="1" si="6"/>
        <v/>
      </c>
      <c r="AQ13" s="3" t="str">
        <f t="shared" ca="1" si="6"/>
        <v/>
      </c>
      <c r="AR13" s="3" t="str">
        <f t="shared" ca="1" si="6"/>
        <v/>
      </c>
      <c r="AS13" s="3" t="str">
        <f t="shared" ca="1" si="6"/>
        <v/>
      </c>
      <c r="AT13" s="3" t="str">
        <f t="shared" ca="1" si="7"/>
        <v/>
      </c>
      <c r="AU13" s="3" t="str">
        <f t="shared" ca="1" si="7"/>
        <v/>
      </c>
      <c r="AV13" s="3" t="str">
        <f t="shared" ca="1" si="7"/>
        <v/>
      </c>
      <c r="AW13" s="3" t="str">
        <f t="shared" ca="1" si="7"/>
        <v/>
      </c>
      <c r="AX13" s="3" t="str">
        <f t="shared" ca="1" si="7"/>
        <v/>
      </c>
      <c r="AY13" s="3" t="str">
        <f t="shared" ca="1" si="7"/>
        <v/>
      </c>
      <c r="AZ13" s="3" t="str">
        <f t="shared" ca="1" si="7"/>
        <v/>
      </c>
      <c r="BA13" s="3" t="str">
        <f t="shared" ca="1" si="7"/>
        <v/>
      </c>
      <c r="BB13" s="3" t="str">
        <f t="shared" ca="1" si="7"/>
        <v/>
      </c>
      <c r="BC13" s="3" t="str">
        <f t="shared" ca="1" si="7"/>
        <v/>
      </c>
      <c r="BD13" s="3" t="str">
        <f t="shared" ca="1" si="8"/>
        <v/>
      </c>
      <c r="BE13" s="3" t="str">
        <f t="shared" ca="1" si="8"/>
        <v/>
      </c>
      <c r="BF13" s="3" t="str">
        <f t="shared" ca="1" si="8"/>
        <v/>
      </c>
      <c r="BG13" s="3" t="str">
        <f t="shared" ca="1" si="8"/>
        <v/>
      </c>
      <c r="BH13" s="3" t="str">
        <f t="shared" ca="1" si="8"/>
        <v/>
      </c>
      <c r="BI13" s="3" t="str">
        <f t="shared" ca="1" si="8"/>
        <v/>
      </c>
      <c r="BJ13" s="3" t="str">
        <f t="shared" ca="1" si="8"/>
        <v/>
      </c>
      <c r="BK13" s="3" t="str">
        <f t="shared" ca="1" si="8"/>
        <v/>
      </c>
      <c r="BL13" s="3" t="str">
        <f t="shared" ca="1" si="8"/>
        <v/>
      </c>
      <c r="BM13" s="3" t="str">
        <f t="shared" ca="1" si="8"/>
        <v/>
      </c>
      <c r="BN13" s="3" t="str">
        <f t="shared" ca="1" si="9"/>
        <v/>
      </c>
      <c r="BO13" s="3" t="str">
        <f t="shared" ca="1" si="9"/>
        <v/>
      </c>
      <c r="BP13" s="3" t="str">
        <f t="shared" ca="1" si="9"/>
        <v/>
      </c>
      <c r="BQ13" s="3" t="str">
        <f t="shared" ca="1" si="9"/>
        <v/>
      </c>
      <c r="BR13" s="3" t="str">
        <f t="shared" ca="1" si="9"/>
        <v/>
      </c>
      <c r="BS13" s="3" t="str">
        <f t="shared" ca="1" si="9"/>
        <v/>
      </c>
    </row>
    <row r="14" spans="1:78" s="1" customFormat="1" ht="40.15" customHeight="1" x14ac:dyDescent="0.25">
      <c r="A14" s="159" t="s">
        <v>36</v>
      </c>
      <c r="B14" s="121">
        <v>24550000</v>
      </c>
      <c r="C14" s="121">
        <v>31860000</v>
      </c>
      <c r="D14" s="161">
        <v>25000</v>
      </c>
      <c r="E14" s="161">
        <v>25875</v>
      </c>
      <c r="F14" s="151" t="s">
        <v>10</v>
      </c>
      <c r="G14" s="151" t="s">
        <v>34</v>
      </c>
      <c r="H14" s="152">
        <v>3.5000000000000003E-2</v>
      </c>
      <c r="I14" s="153">
        <v>0.01</v>
      </c>
      <c r="J14" s="122">
        <v>45589</v>
      </c>
      <c r="K14" s="71">
        <v>45859</v>
      </c>
      <c r="L14" s="92">
        <f>Hitos4352[[#This Row],[FECHA FINAL]]-Hitos4352[[#This Row],[FECHA INICIAL]]</f>
        <v>270</v>
      </c>
      <c r="M14" s="91">
        <f ca="1">Hitos4352[[#This Row],[FECHA FINAL]]-E$9</f>
        <v>-11</v>
      </c>
      <c r="N14" s="92" t="s">
        <v>37</v>
      </c>
      <c r="O14" s="4"/>
      <c r="P14" s="3" t="str">
        <f t="shared" ca="1" si="4"/>
        <v/>
      </c>
      <c r="Q14" s="3" t="str">
        <f t="shared" ca="1" si="4"/>
        <v/>
      </c>
      <c r="R14" s="3" t="str">
        <f t="shared" ca="1" si="4"/>
        <v/>
      </c>
      <c r="S14" s="3" t="str">
        <f t="shared" ca="1" si="4"/>
        <v/>
      </c>
      <c r="T14" s="3" t="str">
        <f t="shared" ca="1" si="4"/>
        <v/>
      </c>
      <c r="U14" s="3" t="str">
        <f t="shared" ca="1" si="4"/>
        <v/>
      </c>
      <c r="V14" s="3" t="str">
        <f t="shared" ca="1" si="4"/>
        <v/>
      </c>
      <c r="W14" s="3" t="str">
        <f t="shared" ca="1" si="4"/>
        <v/>
      </c>
      <c r="X14" s="3" t="str">
        <f t="shared" ca="1" si="4"/>
        <v/>
      </c>
      <c r="Y14" s="3" t="str">
        <f t="shared" ca="1" si="4"/>
        <v/>
      </c>
      <c r="Z14" s="3" t="str">
        <f t="shared" ca="1" si="5"/>
        <v/>
      </c>
      <c r="AA14" s="3" t="str">
        <f t="shared" ca="1" si="5"/>
        <v/>
      </c>
      <c r="AB14" s="3" t="str">
        <f t="shared" ca="1" si="5"/>
        <v/>
      </c>
      <c r="AC14" s="3" t="str">
        <f t="shared" ca="1" si="5"/>
        <v/>
      </c>
      <c r="AD14" s="3" t="str">
        <f t="shared" ca="1" si="5"/>
        <v/>
      </c>
      <c r="AE14" s="3" t="str">
        <f t="shared" ca="1" si="5"/>
        <v/>
      </c>
      <c r="AF14" s="3" t="str">
        <f t="shared" ca="1" si="5"/>
        <v/>
      </c>
      <c r="AG14" s="3" t="str">
        <f t="shared" ca="1" si="5"/>
        <v/>
      </c>
      <c r="AH14" s="3" t="str">
        <f t="shared" ca="1" si="5"/>
        <v/>
      </c>
      <c r="AI14" s="3" t="str">
        <f t="shared" ca="1" si="5"/>
        <v/>
      </c>
      <c r="AJ14" s="3" t="str">
        <f t="shared" ca="1" si="6"/>
        <v/>
      </c>
      <c r="AK14" s="3" t="str">
        <f t="shared" ca="1" si="6"/>
        <v/>
      </c>
      <c r="AL14" s="3" t="str">
        <f t="shared" ca="1" si="6"/>
        <v/>
      </c>
      <c r="AM14" s="3" t="str">
        <f t="shared" ca="1" si="6"/>
        <v/>
      </c>
      <c r="AN14" s="3" t="str">
        <f t="shared" ca="1" si="6"/>
        <v/>
      </c>
      <c r="AO14" s="3" t="str">
        <f t="shared" ca="1" si="6"/>
        <v/>
      </c>
      <c r="AP14" s="3" t="str">
        <f t="shared" ca="1" si="6"/>
        <v/>
      </c>
      <c r="AQ14" s="3" t="str">
        <f t="shared" ca="1" si="6"/>
        <v/>
      </c>
      <c r="AR14" s="3" t="str">
        <f t="shared" ca="1" si="6"/>
        <v/>
      </c>
      <c r="AS14" s="3" t="str">
        <f t="shared" ca="1" si="6"/>
        <v/>
      </c>
      <c r="AT14" s="3" t="str">
        <f t="shared" ca="1" si="7"/>
        <v/>
      </c>
      <c r="AU14" s="3" t="str">
        <f t="shared" ca="1" si="7"/>
        <v/>
      </c>
      <c r="AV14" s="3" t="str">
        <f t="shared" ca="1" si="7"/>
        <v/>
      </c>
      <c r="AW14" s="3" t="str">
        <f t="shared" ca="1" si="7"/>
        <v/>
      </c>
      <c r="AX14" s="3" t="str">
        <f t="shared" ca="1" si="7"/>
        <v/>
      </c>
      <c r="AY14" s="3" t="str">
        <f t="shared" ca="1" si="7"/>
        <v/>
      </c>
      <c r="AZ14" s="3" t="str">
        <f t="shared" ca="1" si="7"/>
        <v/>
      </c>
      <c r="BA14" s="3" t="str">
        <f t="shared" ca="1" si="7"/>
        <v/>
      </c>
      <c r="BB14" s="3" t="str">
        <f t="shared" ca="1" si="7"/>
        <v/>
      </c>
      <c r="BC14" s="3" t="str">
        <f t="shared" ca="1" si="7"/>
        <v/>
      </c>
      <c r="BD14" s="3" t="str">
        <f t="shared" ca="1" si="8"/>
        <v/>
      </c>
      <c r="BE14" s="3" t="str">
        <f t="shared" ca="1" si="8"/>
        <v/>
      </c>
      <c r="BF14" s="3" t="str">
        <f t="shared" ca="1" si="8"/>
        <v/>
      </c>
      <c r="BG14" s="3" t="str">
        <f t="shared" ca="1" si="8"/>
        <v/>
      </c>
      <c r="BH14" s="3" t="str">
        <f t="shared" ca="1" si="8"/>
        <v/>
      </c>
      <c r="BI14" s="3" t="str">
        <f t="shared" ca="1" si="8"/>
        <v/>
      </c>
      <c r="BJ14" s="3" t="str">
        <f t="shared" ca="1" si="8"/>
        <v/>
      </c>
      <c r="BK14" s="3" t="str">
        <f t="shared" ca="1" si="8"/>
        <v/>
      </c>
      <c r="BL14" s="3" t="str">
        <f t="shared" ca="1" si="8"/>
        <v/>
      </c>
      <c r="BM14" s="3" t="str">
        <f t="shared" ca="1" si="8"/>
        <v/>
      </c>
      <c r="BN14" s="3" t="str">
        <f t="shared" ca="1" si="9"/>
        <v/>
      </c>
      <c r="BO14" s="3" t="str">
        <f t="shared" ca="1" si="9"/>
        <v/>
      </c>
      <c r="BP14" s="3" t="str">
        <f t="shared" ca="1" si="9"/>
        <v/>
      </c>
      <c r="BQ14" s="3" t="str">
        <f t="shared" ca="1" si="9"/>
        <v/>
      </c>
      <c r="BR14" s="3" t="str">
        <f t="shared" ca="1" si="9"/>
        <v/>
      </c>
      <c r="BS14" s="3" t="str">
        <f t="shared" ca="1" si="9"/>
        <v/>
      </c>
    </row>
    <row r="15" spans="1:78" s="1" customFormat="1" ht="40.15" customHeight="1" x14ac:dyDescent="0.25">
      <c r="A15" s="174" t="s">
        <v>38</v>
      </c>
      <c r="B15" s="142">
        <v>19730000</v>
      </c>
      <c r="C15" s="175">
        <f>+Hitos4352[[#This Row],[MONTO A DEVOLVER EN USD]]*E8</f>
        <v>23535900</v>
      </c>
      <c r="D15" s="176">
        <v>20000</v>
      </c>
      <c r="E15" s="176">
        <v>20700</v>
      </c>
      <c r="F15" s="144" t="s">
        <v>10</v>
      </c>
      <c r="G15" s="144" t="s">
        <v>34</v>
      </c>
      <c r="H15" s="145">
        <v>3.5000000000000003E-2</v>
      </c>
      <c r="I15" s="146">
        <v>0.01</v>
      </c>
      <c r="J15" s="147">
        <v>45597</v>
      </c>
      <c r="K15" s="149">
        <v>45807</v>
      </c>
      <c r="L15" s="148">
        <f>Hitos4352[[#This Row],[FECHA FINAL]]-Hitos4352[[#This Row],[FECHA INICIAL]]</f>
        <v>210</v>
      </c>
      <c r="M15" s="150">
        <f ca="1">Hitos4352[[#This Row],[FECHA FINAL]]-E$9</f>
        <v>-63</v>
      </c>
      <c r="N15" s="148" t="s">
        <v>35</v>
      </c>
      <c r="O15" s="4"/>
      <c r="P15" s="3" t="str">
        <f t="shared" ca="1" si="4"/>
        <v/>
      </c>
      <c r="Q15" s="3" t="str">
        <f t="shared" ca="1" si="4"/>
        <v/>
      </c>
      <c r="R15" s="3" t="str">
        <f t="shared" ca="1" si="4"/>
        <v/>
      </c>
      <c r="S15" s="3" t="str">
        <f t="shared" ca="1" si="4"/>
        <v/>
      </c>
      <c r="T15" s="3" t="str">
        <f t="shared" ca="1" si="4"/>
        <v/>
      </c>
      <c r="U15" s="3" t="str">
        <f t="shared" ca="1" si="4"/>
        <v/>
      </c>
      <c r="V15" s="3" t="str">
        <f t="shared" ca="1" si="4"/>
        <v/>
      </c>
      <c r="W15" s="3" t="str">
        <f t="shared" ca="1" si="4"/>
        <v/>
      </c>
      <c r="X15" s="3" t="str">
        <f t="shared" ca="1" si="4"/>
        <v/>
      </c>
      <c r="Y15" s="3" t="str">
        <f t="shared" ca="1" si="4"/>
        <v/>
      </c>
      <c r="Z15" s="3" t="str">
        <f t="shared" ca="1" si="5"/>
        <v/>
      </c>
      <c r="AA15" s="3" t="str">
        <f t="shared" ca="1" si="5"/>
        <v/>
      </c>
      <c r="AB15" s="3" t="str">
        <f t="shared" ca="1" si="5"/>
        <v/>
      </c>
      <c r="AC15" s="3" t="str">
        <f t="shared" ca="1" si="5"/>
        <v/>
      </c>
      <c r="AD15" s="3" t="str">
        <f t="shared" ca="1" si="5"/>
        <v/>
      </c>
      <c r="AE15" s="3" t="str">
        <f t="shared" ca="1" si="5"/>
        <v/>
      </c>
      <c r="AF15" s="3" t="str">
        <f t="shared" ca="1" si="5"/>
        <v/>
      </c>
      <c r="AG15" s="3" t="str">
        <f t="shared" ca="1" si="5"/>
        <v/>
      </c>
      <c r="AH15" s="3" t="str">
        <f t="shared" ca="1" si="5"/>
        <v/>
      </c>
      <c r="AI15" s="3" t="str">
        <f t="shared" ca="1" si="5"/>
        <v/>
      </c>
      <c r="AJ15" s="3" t="str">
        <f t="shared" ca="1" si="6"/>
        <v/>
      </c>
      <c r="AK15" s="3" t="str">
        <f t="shared" ca="1" si="6"/>
        <v/>
      </c>
      <c r="AL15" s="3" t="str">
        <f t="shared" ca="1" si="6"/>
        <v/>
      </c>
      <c r="AM15" s="3" t="str">
        <f t="shared" ca="1" si="6"/>
        <v/>
      </c>
      <c r="AN15" s="3" t="str">
        <f t="shared" ca="1" si="6"/>
        <v/>
      </c>
      <c r="AO15" s="3" t="str">
        <f t="shared" ca="1" si="6"/>
        <v/>
      </c>
      <c r="AP15" s="3" t="str">
        <f t="shared" ca="1" si="6"/>
        <v/>
      </c>
      <c r="AQ15" s="3" t="str">
        <f t="shared" ca="1" si="6"/>
        <v/>
      </c>
      <c r="AR15" s="3" t="str">
        <f t="shared" ca="1" si="6"/>
        <v/>
      </c>
      <c r="AS15" s="3" t="str">
        <f t="shared" ca="1" si="6"/>
        <v/>
      </c>
      <c r="AT15" s="3" t="str">
        <f t="shared" ca="1" si="7"/>
        <v/>
      </c>
      <c r="AU15" s="3" t="str">
        <f t="shared" ca="1" si="7"/>
        <v/>
      </c>
      <c r="AV15" s="3" t="str">
        <f t="shared" ca="1" si="7"/>
        <v/>
      </c>
      <c r="AW15" s="3" t="str">
        <f t="shared" ca="1" si="7"/>
        <v/>
      </c>
      <c r="AX15" s="3" t="str">
        <f t="shared" ca="1" si="7"/>
        <v/>
      </c>
      <c r="AY15" s="3" t="str">
        <f t="shared" ca="1" si="7"/>
        <v/>
      </c>
      <c r="AZ15" s="3" t="str">
        <f t="shared" ca="1" si="7"/>
        <v/>
      </c>
      <c r="BA15" s="3" t="str">
        <f t="shared" ca="1" si="7"/>
        <v/>
      </c>
      <c r="BB15" s="3" t="str">
        <f t="shared" ca="1" si="7"/>
        <v/>
      </c>
      <c r="BC15" s="3" t="str">
        <f t="shared" ca="1" si="7"/>
        <v/>
      </c>
      <c r="BD15" s="3" t="str">
        <f t="shared" ca="1" si="8"/>
        <v/>
      </c>
      <c r="BE15" s="3" t="str">
        <f t="shared" ca="1" si="8"/>
        <v/>
      </c>
      <c r="BF15" s="3" t="str">
        <f t="shared" ca="1" si="8"/>
        <v/>
      </c>
      <c r="BG15" s="3" t="str">
        <f t="shared" ca="1" si="8"/>
        <v/>
      </c>
      <c r="BH15" s="3" t="str">
        <f t="shared" ca="1" si="8"/>
        <v/>
      </c>
      <c r="BI15" s="3" t="str">
        <f t="shared" ca="1" si="8"/>
        <v/>
      </c>
      <c r="BJ15" s="3" t="str">
        <f t="shared" ca="1" si="8"/>
        <v/>
      </c>
      <c r="BK15" s="3" t="str">
        <f t="shared" ca="1" si="8"/>
        <v/>
      </c>
      <c r="BL15" s="3" t="str">
        <f t="shared" ca="1" si="8"/>
        <v/>
      </c>
      <c r="BM15" s="3" t="str">
        <f t="shared" ca="1" si="8"/>
        <v/>
      </c>
      <c r="BN15" s="3" t="str">
        <f t="shared" ca="1" si="9"/>
        <v/>
      </c>
      <c r="BO15" s="3" t="str">
        <f t="shared" ca="1" si="9"/>
        <v/>
      </c>
      <c r="BP15" s="3" t="str">
        <f t="shared" ca="1" si="9"/>
        <v/>
      </c>
      <c r="BQ15" s="3" t="str">
        <f t="shared" ca="1" si="9"/>
        <v/>
      </c>
      <c r="BR15" s="3" t="str">
        <f t="shared" ca="1" si="9"/>
        <v/>
      </c>
      <c r="BS15" s="3" t="str">
        <f t="shared" ca="1" si="9"/>
        <v/>
      </c>
    </row>
    <row r="16" spans="1:78" s="1" customFormat="1" ht="40.15" customHeight="1" x14ac:dyDescent="0.25">
      <c r="A16" s="154" t="s">
        <v>39</v>
      </c>
      <c r="B16" s="32">
        <v>48500000</v>
      </c>
      <c r="C16" s="32">
        <v>64326153</v>
      </c>
      <c r="D16" s="33">
        <f>Hitos4352[[#This Row],[MONTO INICIAL]]/1000</f>
        <v>48500</v>
      </c>
      <c r="E16" s="33">
        <f>Hitos4352[[#This Row],[A DEVOLVER]]/$E$8</f>
        <v>56575.33245382586</v>
      </c>
      <c r="F16" s="28" t="s">
        <v>10</v>
      </c>
      <c r="G16" s="28" t="s">
        <v>34</v>
      </c>
      <c r="H16" s="34">
        <v>0.41</v>
      </c>
      <c r="I16" s="29">
        <v>0.01</v>
      </c>
      <c r="J16" s="30">
        <v>45600</v>
      </c>
      <c r="K16" s="72">
        <v>45898</v>
      </c>
      <c r="L16" s="31">
        <f>Hitos4352[[#This Row],[FECHA FINAL]]-Hitos4352[[#This Row],[FECHA INICIAL]]</f>
        <v>298</v>
      </c>
      <c r="M16" s="100">
        <f ca="1">Hitos4352[[#This Row],[FECHA FINAL]]-E$9</f>
        <v>28</v>
      </c>
      <c r="N16" s="31" t="s">
        <v>37</v>
      </c>
      <c r="O16" s="4"/>
      <c r="P16" s="3" t="str">
        <f t="shared" ca="1" si="4"/>
        <v/>
      </c>
      <c r="Q16" s="3" t="str">
        <f t="shared" ca="1" si="4"/>
        <v/>
      </c>
      <c r="R16" s="3" t="str">
        <f t="shared" ca="1" si="4"/>
        <v/>
      </c>
      <c r="S16" s="3" t="str">
        <f t="shared" ca="1" si="4"/>
        <v/>
      </c>
      <c r="T16" s="3" t="str">
        <f t="shared" ca="1" si="4"/>
        <v/>
      </c>
      <c r="U16" s="3" t="str">
        <f t="shared" ca="1" si="4"/>
        <v/>
      </c>
      <c r="V16" s="3" t="str">
        <f t="shared" ca="1" si="4"/>
        <v/>
      </c>
      <c r="W16" s="3" t="str">
        <f t="shared" ca="1" si="4"/>
        <v/>
      </c>
      <c r="X16" s="3" t="str">
        <f t="shared" ca="1" si="4"/>
        <v/>
      </c>
      <c r="Y16" s="3" t="str">
        <f t="shared" ca="1" si="4"/>
        <v/>
      </c>
      <c r="Z16" s="3" t="str">
        <f t="shared" ca="1" si="5"/>
        <v/>
      </c>
      <c r="AA16" s="3" t="str">
        <f t="shared" ca="1" si="5"/>
        <v/>
      </c>
      <c r="AB16" s="3" t="str">
        <f t="shared" ca="1" si="5"/>
        <v/>
      </c>
      <c r="AC16" s="3" t="str">
        <f t="shared" ca="1" si="5"/>
        <v/>
      </c>
      <c r="AD16" s="3" t="str">
        <f t="shared" ca="1" si="5"/>
        <v/>
      </c>
      <c r="AE16" s="3" t="str">
        <f t="shared" ca="1" si="5"/>
        <v/>
      </c>
      <c r="AF16" s="3" t="str">
        <f t="shared" ca="1" si="5"/>
        <v/>
      </c>
      <c r="AG16" s="3" t="str">
        <f t="shared" ca="1" si="5"/>
        <v/>
      </c>
      <c r="AH16" s="3" t="str">
        <f t="shared" ca="1" si="5"/>
        <v/>
      </c>
      <c r="AI16" s="3" t="str">
        <f t="shared" ca="1" si="5"/>
        <v/>
      </c>
      <c r="AJ16" s="3" t="str">
        <f t="shared" ca="1" si="6"/>
        <v/>
      </c>
      <c r="AK16" s="3" t="str">
        <f t="shared" ca="1" si="6"/>
        <v/>
      </c>
      <c r="AL16" s="3" t="str">
        <f t="shared" ca="1" si="6"/>
        <v/>
      </c>
      <c r="AM16" s="3" t="str">
        <f t="shared" ca="1" si="6"/>
        <v/>
      </c>
      <c r="AN16" s="3" t="str">
        <f t="shared" ca="1" si="6"/>
        <v/>
      </c>
      <c r="AO16" s="3" t="str">
        <f t="shared" ca="1" si="6"/>
        <v/>
      </c>
      <c r="AP16" s="3" t="str">
        <f t="shared" ca="1" si="6"/>
        <v/>
      </c>
      <c r="AQ16" s="3" t="str">
        <f t="shared" ca="1" si="6"/>
        <v/>
      </c>
      <c r="AR16" s="3" t="str">
        <f t="shared" ca="1" si="6"/>
        <v/>
      </c>
      <c r="AS16" s="3" t="str">
        <f t="shared" ca="1" si="6"/>
        <v/>
      </c>
      <c r="AT16" s="3" t="str">
        <f t="shared" ca="1" si="7"/>
        <v/>
      </c>
      <c r="AU16" s="3" t="str">
        <f t="shared" ca="1" si="7"/>
        <v/>
      </c>
      <c r="AV16" s="3" t="str">
        <f t="shared" ca="1" si="7"/>
        <v/>
      </c>
      <c r="AW16" s="3" t="str">
        <f t="shared" ca="1" si="7"/>
        <v/>
      </c>
      <c r="AX16" s="3" t="str">
        <f t="shared" ca="1" si="7"/>
        <v/>
      </c>
      <c r="AY16" s="3" t="str">
        <f t="shared" ca="1" si="7"/>
        <v/>
      </c>
      <c r="AZ16" s="3" t="str">
        <f t="shared" ca="1" si="7"/>
        <v/>
      </c>
      <c r="BA16" s="3" t="str">
        <f t="shared" ca="1" si="7"/>
        <v/>
      </c>
      <c r="BB16" s="3" t="str">
        <f t="shared" ca="1" si="7"/>
        <v/>
      </c>
      <c r="BC16" s="3" t="str">
        <f t="shared" ca="1" si="7"/>
        <v/>
      </c>
      <c r="BD16" s="3" t="str">
        <f t="shared" ca="1" si="8"/>
        <v/>
      </c>
      <c r="BE16" s="3" t="str">
        <f t="shared" ca="1" si="8"/>
        <v/>
      </c>
      <c r="BF16" s="3" t="str">
        <f t="shared" ca="1" si="8"/>
        <v/>
      </c>
      <c r="BG16" s="3" t="str">
        <f t="shared" ca="1" si="8"/>
        <v/>
      </c>
      <c r="BH16" s="3" t="str">
        <f t="shared" ca="1" si="8"/>
        <v/>
      </c>
      <c r="BI16" s="3" t="str">
        <f t="shared" ca="1" si="8"/>
        <v/>
      </c>
      <c r="BJ16" s="3" t="str">
        <f t="shared" ca="1" si="8"/>
        <v/>
      </c>
      <c r="BK16" s="3" t="str">
        <f t="shared" ca="1" si="8"/>
        <v/>
      </c>
      <c r="BL16" s="3" t="str">
        <f t="shared" ca="1" si="8"/>
        <v/>
      </c>
      <c r="BM16" s="3" t="str">
        <f t="shared" ca="1" si="8"/>
        <v/>
      </c>
      <c r="BN16" s="3" t="str">
        <f t="shared" ca="1" si="9"/>
        <v/>
      </c>
      <c r="BO16" s="3" t="str">
        <f t="shared" ca="1" si="9"/>
        <v/>
      </c>
      <c r="BP16" s="3" t="str">
        <f t="shared" ca="1" si="9"/>
        <v/>
      </c>
      <c r="BQ16" s="3" t="str">
        <f t="shared" ca="1" si="9"/>
        <v/>
      </c>
      <c r="BR16" s="3" t="str">
        <f t="shared" ca="1" si="9"/>
        <v/>
      </c>
      <c r="BS16" s="3" t="str">
        <f t="shared" ca="1" si="9"/>
        <v/>
      </c>
    </row>
    <row r="17" spans="1:71" s="1" customFormat="1" ht="40.15" customHeight="1" x14ac:dyDescent="0.25">
      <c r="A17" s="160" t="s">
        <v>40</v>
      </c>
      <c r="B17" s="32">
        <v>19900000</v>
      </c>
      <c r="C17" s="32">
        <v>25870000</v>
      </c>
      <c r="D17" s="33">
        <f>Hitos4352[[#This Row],[MONTO INICIAL]]/1000</f>
        <v>19900</v>
      </c>
      <c r="E17" s="33">
        <f>Hitos4352[[#This Row],[A DEVOLVER]]/$E$8</f>
        <v>22752.858399296394</v>
      </c>
      <c r="F17" s="28" t="s">
        <v>10</v>
      </c>
      <c r="G17" s="28" t="s">
        <v>34</v>
      </c>
      <c r="H17" s="34">
        <v>0.3</v>
      </c>
      <c r="I17" s="29">
        <v>0.01</v>
      </c>
      <c r="J17" s="30">
        <v>45581</v>
      </c>
      <c r="K17" s="72">
        <v>45931</v>
      </c>
      <c r="L17" s="31">
        <f>Hitos4352[[#This Row],[FECHA FINAL]]-Hitos4352[[#This Row],[FECHA INICIAL]]</f>
        <v>350</v>
      </c>
      <c r="M17" s="100">
        <f ca="1">Hitos4352[[#This Row],[FECHA FINAL]]-E$9</f>
        <v>61</v>
      </c>
      <c r="N17" s="31" t="s">
        <v>37</v>
      </c>
      <c r="O17" s="4"/>
      <c r="P17" s="3" t="str">
        <f t="shared" ca="1" si="4"/>
        <v/>
      </c>
      <c r="Q17" s="3" t="str">
        <f t="shared" ca="1" si="4"/>
        <v/>
      </c>
      <c r="R17" s="3" t="str">
        <f t="shared" ca="1" si="4"/>
        <v/>
      </c>
      <c r="S17" s="3" t="str">
        <f t="shared" ca="1" si="4"/>
        <v/>
      </c>
      <c r="T17" s="3" t="str">
        <f t="shared" ca="1" si="4"/>
        <v/>
      </c>
      <c r="U17" s="3" t="str">
        <f t="shared" ca="1" si="4"/>
        <v/>
      </c>
      <c r="V17" s="3" t="str">
        <f t="shared" ca="1" si="4"/>
        <v/>
      </c>
      <c r="W17" s="3" t="str">
        <f t="shared" ca="1" si="4"/>
        <v/>
      </c>
      <c r="X17" s="3" t="str">
        <f t="shared" ca="1" si="4"/>
        <v/>
      </c>
      <c r="Y17" s="3" t="str">
        <f t="shared" ca="1" si="4"/>
        <v/>
      </c>
      <c r="Z17" s="3" t="str">
        <f t="shared" ca="1" si="5"/>
        <v/>
      </c>
      <c r="AA17" s="3" t="str">
        <f t="shared" ca="1" si="5"/>
        <v/>
      </c>
      <c r="AB17" s="3" t="str">
        <f t="shared" ca="1" si="5"/>
        <v/>
      </c>
      <c r="AC17" s="3" t="str">
        <f t="shared" ca="1" si="5"/>
        <v/>
      </c>
      <c r="AD17" s="3" t="str">
        <f t="shared" ca="1" si="5"/>
        <v/>
      </c>
      <c r="AE17" s="3" t="str">
        <f t="shared" ca="1" si="5"/>
        <v/>
      </c>
      <c r="AF17" s="3" t="str">
        <f t="shared" ca="1" si="5"/>
        <v/>
      </c>
      <c r="AG17" s="3" t="str">
        <f t="shared" ca="1" si="5"/>
        <v/>
      </c>
      <c r="AH17" s="3" t="str">
        <f t="shared" ca="1" si="5"/>
        <v/>
      </c>
      <c r="AI17" s="3" t="str">
        <f t="shared" ca="1" si="5"/>
        <v/>
      </c>
      <c r="AJ17" s="3" t="str">
        <f t="shared" ca="1" si="6"/>
        <v/>
      </c>
      <c r="AK17" s="3" t="str">
        <f t="shared" ca="1" si="6"/>
        <v/>
      </c>
      <c r="AL17" s="3" t="str">
        <f t="shared" ca="1" si="6"/>
        <v/>
      </c>
      <c r="AM17" s="3" t="str">
        <f t="shared" ca="1" si="6"/>
        <v/>
      </c>
      <c r="AN17" s="3" t="str">
        <f t="shared" ca="1" si="6"/>
        <v/>
      </c>
      <c r="AO17" s="3" t="str">
        <f t="shared" ca="1" si="6"/>
        <v/>
      </c>
      <c r="AP17" s="3" t="str">
        <f t="shared" ca="1" si="6"/>
        <v/>
      </c>
      <c r="AQ17" s="3" t="str">
        <f t="shared" ca="1" si="6"/>
        <v/>
      </c>
      <c r="AR17" s="3" t="str">
        <f t="shared" ca="1" si="6"/>
        <v/>
      </c>
      <c r="AS17" s="3" t="str">
        <f t="shared" ca="1" si="6"/>
        <v/>
      </c>
      <c r="AT17" s="3" t="str">
        <f t="shared" ca="1" si="7"/>
        <v/>
      </c>
      <c r="AU17" s="3" t="str">
        <f t="shared" ca="1" si="7"/>
        <v/>
      </c>
      <c r="AV17" s="3" t="str">
        <f t="shared" ca="1" si="7"/>
        <v/>
      </c>
      <c r="AW17" s="3" t="str">
        <f t="shared" ca="1" si="7"/>
        <v/>
      </c>
      <c r="AX17" s="3" t="str">
        <f t="shared" ca="1" si="7"/>
        <v/>
      </c>
      <c r="AY17" s="3" t="str">
        <f t="shared" ca="1" si="7"/>
        <v/>
      </c>
      <c r="AZ17" s="3" t="str">
        <f t="shared" ca="1" si="7"/>
        <v/>
      </c>
      <c r="BA17" s="3" t="str">
        <f t="shared" ca="1" si="7"/>
        <v/>
      </c>
      <c r="BB17" s="3" t="str">
        <f t="shared" ca="1" si="7"/>
        <v/>
      </c>
      <c r="BC17" s="3" t="str">
        <f t="shared" ca="1" si="7"/>
        <v/>
      </c>
      <c r="BD17" s="3" t="str">
        <f t="shared" ca="1" si="8"/>
        <v/>
      </c>
      <c r="BE17" s="3" t="str">
        <f t="shared" ca="1" si="8"/>
        <v/>
      </c>
      <c r="BF17" s="3" t="str">
        <f t="shared" ca="1" si="8"/>
        <v/>
      </c>
      <c r="BG17" s="3" t="str">
        <f t="shared" ca="1" si="8"/>
        <v/>
      </c>
      <c r="BH17" s="3" t="str">
        <f t="shared" ca="1" si="8"/>
        <v/>
      </c>
      <c r="BI17" s="3" t="str">
        <f t="shared" ca="1" si="8"/>
        <v/>
      </c>
      <c r="BJ17" s="3" t="str">
        <f t="shared" ca="1" si="8"/>
        <v/>
      </c>
      <c r="BK17" s="3" t="str">
        <f t="shared" ca="1" si="8"/>
        <v/>
      </c>
      <c r="BL17" s="3" t="str">
        <f t="shared" ca="1" si="8"/>
        <v/>
      </c>
      <c r="BM17" s="3" t="str">
        <f t="shared" ca="1" si="8"/>
        <v/>
      </c>
      <c r="BN17" s="3" t="str">
        <f t="shared" ca="1" si="9"/>
        <v/>
      </c>
      <c r="BO17" s="3" t="str">
        <f t="shared" ca="1" si="9"/>
        <v/>
      </c>
      <c r="BP17" s="3" t="str">
        <f t="shared" ca="1" si="9"/>
        <v/>
      </c>
      <c r="BQ17" s="3" t="str">
        <f t="shared" ca="1" si="9"/>
        <v/>
      </c>
      <c r="BR17" s="3" t="str">
        <f t="shared" ca="1" si="9"/>
        <v/>
      </c>
      <c r="BS17" s="3" t="str">
        <f t="shared" ca="1" si="9"/>
        <v/>
      </c>
    </row>
    <row r="18" spans="1:71" s="1" customFormat="1" ht="40.15" customHeight="1" x14ac:dyDescent="0.25">
      <c r="A18" s="174" t="s">
        <v>41</v>
      </c>
      <c r="B18" s="142">
        <v>30000000</v>
      </c>
      <c r="C18" s="175">
        <v>39491465.219999999</v>
      </c>
      <c r="D18" s="176">
        <f>Hitos4352[[#This Row],[MONTO INICIAL]]/1000</f>
        <v>30000</v>
      </c>
      <c r="E18" s="176">
        <f>Hitos4352[[#This Row],[A DEVOLVER]]/1000</f>
        <v>39491.465219999998</v>
      </c>
      <c r="F18" s="144" t="s">
        <v>10</v>
      </c>
      <c r="G18" s="144" t="s">
        <v>34</v>
      </c>
      <c r="H18" s="145">
        <v>4.3499999999999997E-2</v>
      </c>
      <c r="I18" s="146">
        <v>0.01</v>
      </c>
      <c r="J18" s="147">
        <v>45644</v>
      </c>
      <c r="K18" s="149">
        <v>45825</v>
      </c>
      <c r="L18" s="148">
        <f>Hitos4352[[#This Row],[FECHA FINAL]]-Hitos4352[[#This Row],[FECHA INICIAL]]</f>
        <v>181</v>
      </c>
      <c r="M18" s="150">
        <f ca="1">Hitos4352[[#This Row],[FECHA FINAL]]-E$9</f>
        <v>-45</v>
      </c>
      <c r="N18" s="148" t="s">
        <v>35</v>
      </c>
      <c r="O18" s="4"/>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row>
    <row r="19" spans="1:71" s="1" customFormat="1" ht="40.15" customHeight="1" x14ac:dyDescent="0.25">
      <c r="A19" s="27" t="s">
        <v>42</v>
      </c>
      <c r="B19" s="32">
        <v>25762930</v>
      </c>
      <c r="C19" s="32">
        <v>29925000</v>
      </c>
      <c r="D19" s="33">
        <f>Hitos4352[[#This Row],[MONTO INICIAL]]/1000</f>
        <v>25762.93</v>
      </c>
      <c r="E19" s="33">
        <f>Hitos4352[[#This Row],[A DEVOLVER]]/1000</f>
        <v>29925</v>
      </c>
      <c r="F19" s="28" t="s">
        <v>10</v>
      </c>
      <c r="G19" s="28" t="s">
        <v>34</v>
      </c>
      <c r="H19" s="34">
        <v>0.05</v>
      </c>
      <c r="I19" s="29">
        <v>0.01</v>
      </c>
      <c r="J19" s="30">
        <v>45679</v>
      </c>
      <c r="K19" s="72">
        <v>45889</v>
      </c>
      <c r="L19" s="31">
        <f>Hitos4352[[#This Row],[FECHA FINAL]]-Hitos4352[[#This Row],[FECHA INICIAL]]</f>
        <v>210</v>
      </c>
      <c r="M19" s="100">
        <f ca="1">Hitos4352[[#This Row],[FECHA FINAL]]-E$9</f>
        <v>19</v>
      </c>
      <c r="N19" s="31" t="s">
        <v>37</v>
      </c>
      <c r="O19" s="4"/>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row>
    <row r="20" spans="1:71" s="1" customFormat="1" ht="40.15" customHeight="1" x14ac:dyDescent="0.25">
      <c r="A20" s="156" t="s">
        <v>43</v>
      </c>
      <c r="B20" s="142">
        <f>20000000/6</f>
        <v>3333333.3333333335</v>
      </c>
      <c r="C20" s="142">
        <v>3713385</v>
      </c>
      <c r="D20" s="143">
        <f>Hitos4352[[#This Row],[MONTO INICIAL]]/1000</f>
        <v>3333.3333333333335</v>
      </c>
      <c r="E20" s="143">
        <f>Hitos4352[[#This Row],[A DEVOLVER]]/1000</f>
        <v>3713.3850000000002</v>
      </c>
      <c r="F20" s="144" t="s">
        <v>10</v>
      </c>
      <c r="G20" s="144" t="s">
        <v>34</v>
      </c>
      <c r="H20" s="145">
        <v>0.38490000000000002</v>
      </c>
      <c r="I20" s="146">
        <v>0.01</v>
      </c>
      <c r="J20" s="147">
        <v>45748</v>
      </c>
      <c r="K20" s="149">
        <v>45772</v>
      </c>
      <c r="L20" s="148">
        <f>Hitos4352[[#This Row],[FECHA FINAL]]-Hitos4352[[#This Row],[FECHA INICIAL]]</f>
        <v>24</v>
      </c>
      <c r="M20" s="150">
        <f ca="1">Hitos4352[[#This Row],[FECHA FINAL]]-E$9</f>
        <v>-98</v>
      </c>
      <c r="N20" s="148" t="s">
        <v>35</v>
      </c>
      <c r="O20" s="4"/>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row>
    <row r="21" spans="1:71" s="1" customFormat="1" ht="40.15" customHeight="1" x14ac:dyDescent="0.25">
      <c r="A21" s="156" t="s">
        <v>44</v>
      </c>
      <c r="B21" s="142">
        <v>3333333.3333333335</v>
      </c>
      <c r="C21" s="142">
        <v>3722019</v>
      </c>
      <c r="D21" s="143">
        <f>Hitos4352[[#This Row],[MONTO INICIAL]]/1000</f>
        <v>3333.3333333333335</v>
      </c>
      <c r="E21" s="143">
        <f>Hitos4352[[#This Row],[A DEVOLVER]]/1000</f>
        <v>3722.0189999999998</v>
      </c>
      <c r="F21" s="144" t="s">
        <v>10</v>
      </c>
      <c r="G21" s="144" t="s">
        <v>34</v>
      </c>
      <c r="H21" s="145">
        <v>0.38490000000000002</v>
      </c>
      <c r="I21" s="146">
        <v>0.01</v>
      </c>
      <c r="J21" s="147">
        <v>45748</v>
      </c>
      <c r="K21" s="149">
        <v>45803</v>
      </c>
      <c r="L21" s="148">
        <f>Hitos4352[[#This Row],[FECHA FINAL]]-Hitos4352[[#This Row],[FECHA INICIAL]]</f>
        <v>55</v>
      </c>
      <c r="M21" s="150">
        <f ca="1">Hitos4352[[#This Row],[FECHA FINAL]]-E$9</f>
        <v>-67</v>
      </c>
      <c r="N21" s="148" t="s">
        <v>35</v>
      </c>
      <c r="O21" s="4"/>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row>
    <row r="22" spans="1:71" s="1" customFormat="1" ht="40.15" customHeight="1" x14ac:dyDescent="0.25">
      <c r="A22" s="156" t="s">
        <v>45</v>
      </c>
      <c r="B22" s="142">
        <v>3333333.3333333335</v>
      </c>
      <c r="C22" s="142">
        <v>3695805</v>
      </c>
      <c r="D22" s="143">
        <f>Hitos4352[[#This Row],[MONTO INICIAL]]/1000</f>
        <v>3333.3333333333335</v>
      </c>
      <c r="E22" s="143">
        <f>Hitos4352[[#This Row],[A DEVOLVER]]/1000</f>
        <v>3695.8049999999998</v>
      </c>
      <c r="F22" s="144" t="s">
        <v>10</v>
      </c>
      <c r="G22" s="144" t="s">
        <v>34</v>
      </c>
      <c r="H22" s="145">
        <v>0.38490000000000002</v>
      </c>
      <c r="I22" s="146">
        <v>0.01</v>
      </c>
      <c r="J22" s="147">
        <v>45748</v>
      </c>
      <c r="K22" s="149">
        <v>45833</v>
      </c>
      <c r="L22" s="148">
        <f>Hitos4352[[#This Row],[FECHA FINAL]]-Hitos4352[[#This Row],[FECHA INICIAL]]</f>
        <v>85</v>
      </c>
      <c r="M22" s="150">
        <f ca="1">Hitos4352[[#This Row],[FECHA FINAL]]-E$9</f>
        <v>-37</v>
      </c>
      <c r="N22" s="148" t="s">
        <v>35</v>
      </c>
      <c r="O22" s="4"/>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row>
    <row r="23" spans="1:71" s="1" customFormat="1" ht="40.15" customHeight="1" x14ac:dyDescent="0.25">
      <c r="A23" s="162" t="s">
        <v>46</v>
      </c>
      <c r="B23" s="163">
        <v>3333333.3333333335</v>
      </c>
      <c r="C23" s="163">
        <v>3686448</v>
      </c>
      <c r="D23" s="164">
        <f>Hitos4352[[#This Row],[MONTO INICIAL]]/1000</f>
        <v>3333.3333333333335</v>
      </c>
      <c r="E23" s="164">
        <f>Hitos4352[[#This Row],[A DEVOLVER]]/1000</f>
        <v>3686.4479999999999</v>
      </c>
      <c r="F23" s="165" t="s">
        <v>10</v>
      </c>
      <c r="G23" s="165" t="s">
        <v>34</v>
      </c>
      <c r="H23" s="166">
        <v>0.38490000000000002</v>
      </c>
      <c r="I23" s="167">
        <v>0.01</v>
      </c>
      <c r="J23" s="168">
        <v>45748</v>
      </c>
      <c r="K23" s="169">
        <v>45863</v>
      </c>
      <c r="L23" s="170">
        <f>Hitos4352[[#This Row],[FECHA FINAL]]-Hitos4352[[#This Row],[FECHA INICIAL]]</f>
        <v>115</v>
      </c>
      <c r="M23" s="171">
        <f ca="1">Hitos4352[[#This Row],[FECHA FINAL]]-E$9</f>
        <v>-7</v>
      </c>
      <c r="N23" s="170" t="s">
        <v>37</v>
      </c>
      <c r="O23" s="4"/>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row>
    <row r="24" spans="1:71" s="1" customFormat="1" ht="40.15" customHeight="1" x14ac:dyDescent="0.25">
      <c r="A24" s="154" t="s">
        <v>47</v>
      </c>
      <c r="B24" s="32">
        <v>3333333.3333333335</v>
      </c>
      <c r="C24" s="32">
        <v>3683954</v>
      </c>
      <c r="D24" s="33">
        <f>Hitos4352[[#This Row],[MONTO INICIAL]]/1000</f>
        <v>3333.3333333333335</v>
      </c>
      <c r="E24" s="33">
        <f>Hitos4352[[#This Row],[A DEVOLVER]]/1000</f>
        <v>3683.9540000000002</v>
      </c>
      <c r="F24" s="28" t="s">
        <v>10</v>
      </c>
      <c r="G24" s="28" t="s">
        <v>34</v>
      </c>
      <c r="H24" s="34">
        <v>0.38490000000000002</v>
      </c>
      <c r="I24" s="29">
        <v>0.01</v>
      </c>
      <c r="J24" s="30">
        <v>45748</v>
      </c>
      <c r="K24" s="72">
        <v>45894</v>
      </c>
      <c r="L24" s="31">
        <f>Hitos4352[[#This Row],[FECHA FINAL]]-Hitos4352[[#This Row],[FECHA INICIAL]]</f>
        <v>146</v>
      </c>
      <c r="M24" s="100">
        <f ca="1">Hitos4352[[#This Row],[FECHA FINAL]]-E$9</f>
        <v>24</v>
      </c>
      <c r="N24" s="31" t="s">
        <v>37</v>
      </c>
      <c r="O24" s="4"/>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row>
    <row r="25" spans="1:71" s="1" customFormat="1" ht="40.15" customHeight="1" x14ac:dyDescent="0.25">
      <c r="A25" s="154" t="s">
        <v>48</v>
      </c>
      <c r="B25" s="32">
        <v>3333333.3333333335</v>
      </c>
      <c r="C25" s="32">
        <v>3670571</v>
      </c>
      <c r="D25" s="33">
        <f>Hitos4352[[#This Row],[MONTO INICIAL]]/1000</f>
        <v>3333.3333333333335</v>
      </c>
      <c r="E25" s="33">
        <f>Hitos4352[[#This Row],[A DEVOLVER]]/1000</f>
        <v>3670.5709999999999</v>
      </c>
      <c r="F25" s="28" t="s">
        <v>10</v>
      </c>
      <c r="G25" s="28" t="s">
        <v>34</v>
      </c>
      <c r="H25" s="34">
        <v>0.38490000000000002</v>
      </c>
      <c r="I25" s="29">
        <v>0.01</v>
      </c>
      <c r="J25" s="30">
        <v>45748</v>
      </c>
      <c r="K25" s="72">
        <v>45925</v>
      </c>
      <c r="L25" s="31">
        <f>Hitos4352[[#This Row],[FECHA FINAL]]-Hitos4352[[#This Row],[FECHA INICIAL]]</f>
        <v>177</v>
      </c>
      <c r="M25" s="100">
        <f ca="1">Hitos4352[[#This Row],[FECHA FINAL]]-E$9</f>
        <v>55</v>
      </c>
      <c r="N25" s="31" t="s">
        <v>37</v>
      </c>
      <c r="O25" s="4"/>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row>
    <row r="26" spans="1:71" s="1" customFormat="1" ht="40.15" customHeight="1" x14ac:dyDescent="0.25">
      <c r="A26" s="154" t="s">
        <v>49</v>
      </c>
      <c r="B26" s="32">
        <v>10000000</v>
      </c>
      <c r="C26" s="32">
        <v>12699375.35</v>
      </c>
      <c r="D26" s="33">
        <f>Hitos4352[[#This Row],[MONTO INICIAL]]/1200</f>
        <v>8333.3333333333339</v>
      </c>
      <c r="E26" s="33">
        <f>Hitos4352[[#This Row],[A DEVOLVER]]/1200</f>
        <v>10582.812791666667</v>
      </c>
      <c r="F26" s="28" t="s">
        <v>10</v>
      </c>
      <c r="G26" s="28" t="s">
        <v>34</v>
      </c>
      <c r="H26" s="34">
        <v>0.47</v>
      </c>
      <c r="I26" s="29"/>
      <c r="J26" s="30">
        <v>45755</v>
      </c>
      <c r="K26" s="72">
        <v>45938</v>
      </c>
      <c r="L26" s="31">
        <f>Hitos4352[[#This Row],[FECHA FINAL]]-Hitos4352[[#This Row],[FECHA INICIAL]]</f>
        <v>183</v>
      </c>
      <c r="M26" s="100">
        <f ca="1">Hitos4352[[#This Row],[FECHA FINAL]]-E$9</f>
        <v>68</v>
      </c>
      <c r="N26" s="31" t="s">
        <v>37</v>
      </c>
      <c r="O26" s="4"/>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row>
    <row r="27" spans="1:71" s="1" customFormat="1" ht="40.15" customHeight="1" x14ac:dyDescent="0.25">
      <c r="A27" s="154" t="s">
        <v>50</v>
      </c>
      <c r="B27" s="32">
        <v>7500000</v>
      </c>
      <c r="C27" s="32">
        <v>9524531.5099999998</v>
      </c>
      <c r="D27" s="33">
        <f>Hitos4352[[#This Row],[MONTO INICIAL]]/1200</f>
        <v>6250</v>
      </c>
      <c r="E27" s="33">
        <f>Hitos4352[[#This Row],[A DEVOLVER]]/1200</f>
        <v>7937.1095916666663</v>
      </c>
      <c r="F27" s="28" t="s">
        <v>10</v>
      </c>
      <c r="G27" s="28" t="s">
        <v>34</v>
      </c>
      <c r="H27" s="34">
        <v>0.47</v>
      </c>
      <c r="I27" s="29"/>
      <c r="J27" s="30">
        <v>45757</v>
      </c>
      <c r="K27" s="72">
        <v>45940</v>
      </c>
      <c r="L27" s="31">
        <f>Hitos4352[[#This Row],[FECHA FINAL]]-Hitos4352[[#This Row],[FECHA INICIAL]]</f>
        <v>183</v>
      </c>
      <c r="M27" s="100">
        <f ca="1">Hitos4352[[#This Row],[FECHA FINAL]]-E$9</f>
        <v>70</v>
      </c>
      <c r="N27" s="31" t="s">
        <v>37</v>
      </c>
      <c r="O27" s="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row>
    <row r="28" spans="1:71" s="1" customFormat="1" ht="40.15" customHeight="1" x14ac:dyDescent="0.25">
      <c r="A28" s="27" t="s">
        <v>51</v>
      </c>
      <c r="B28" s="32">
        <v>6000000</v>
      </c>
      <c r="C28" s="32">
        <v>6000000</v>
      </c>
      <c r="D28" s="33">
        <f>Hitos4352[[#This Row],[MONTO INICIAL]]/1200</f>
        <v>5000</v>
      </c>
      <c r="E28" s="33">
        <f>Hitos4352[[#This Row],[A DEVOLVER]]/1200</f>
        <v>5000</v>
      </c>
      <c r="F28" s="28" t="s">
        <v>10</v>
      </c>
      <c r="G28" s="28" t="s">
        <v>34</v>
      </c>
      <c r="H28" s="34">
        <v>0.44879999999999998</v>
      </c>
      <c r="I28" s="29"/>
      <c r="J28" s="30">
        <v>45785</v>
      </c>
      <c r="K28" s="72">
        <v>45814</v>
      </c>
      <c r="L28" s="31">
        <f>Hitos4352[[#This Row],[FECHA FINAL]]-Hitos4352[[#This Row],[FECHA INICIAL]]</f>
        <v>29</v>
      </c>
      <c r="M28" s="100">
        <f ca="1">Hitos4352[[#This Row],[FECHA FINAL]]-E$9</f>
        <v>-56</v>
      </c>
      <c r="N28" s="31" t="s">
        <v>35</v>
      </c>
      <c r="O28" s="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row>
    <row r="29" spans="1:71" s="1" customFormat="1" ht="40.15" customHeight="1" x14ac:dyDescent="0.25">
      <c r="A29" s="27" t="s">
        <v>52</v>
      </c>
      <c r="B29" s="32">
        <v>14000000</v>
      </c>
      <c r="C29" s="32">
        <v>14000000</v>
      </c>
      <c r="D29" s="33">
        <f>Hitos4352[[#This Row],[MONTO INICIAL]]/1200</f>
        <v>11666.666666666666</v>
      </c>
      <c r="E29" s="33">
        <f>Hitos4352[[#This Row],[A DEVOLVER]]/1200</f>
        <v>11666.666666666666</v>
      </c>
      <c r="F29" s="28" t="s">
        <v>10</v>
      </c>
      <c r="G29" s="28" t="s">
        <v>34</v>
      </c>
      <c r="H29" s="34">
        <v>0.43730000000000002</v>
      </c>
      <c r="I29" s="29"/>
      <c r="J29" s="30">
        <v>45698</v>
      </c>
      <c r="K29" s="72">
        <v>45791</v>
      </c>
      <c r="L29" s="31">
        <f>Hitos4352[[#This Row],[FECHA FINAL]]-Hitos4352[[#This Row],[FECHA INICIAL]]</f>
        <v>93</v>
      </c>
      <c r="M29" s="100">
        <f ca="1">Hitos4352[[#This Row],[FECHA FINAL]]-E$9</f>
        <v>-79</v>
      </c>
      <c r="N29" s="31" t="s">
        <v>35</v>
      </c>
      <c r="O29" s="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row>
    <row r="30" spans="1:71" s="1" customFormat="1" ht="40.15" customHeight="1" x14ac:dyDescent="0.25">
      <c r="A30" s="27" t="s">
        <v>53</v>
      </c>
      <c r="B30" s="32">
        <v>7200000</v>
      </c>
      <c r="C30" s="32">
        <v>7200000</v>
      </c>
      <c r="D30" s="33">
        <f>Hitos4352[[#This Row],[MONTO INICIAL]]/1200</f>
        <v>6000</v>
      </c>
      <c r="E30" s="33">
        <f>Hitos4352[[#This Row],[A DEVOLVER]]/1200</f>
        <v>6000</v>
      </c>
      <c r="F30" s="28" t="s">
        <v>10</v>
      </c>
      <c r="G30" s="28" t="s">
        <v>34</v>
      </c>
      <c r="H30" s="34">
        <v>0.53</v>
      </c>
      <c r="I30" s="29"/>
      <c r="J30" s="30">
        <v>45713</v>
      </c>
      <c r="K30" s="72">
        <v>45929</v>
      </c>
      <c r="L30" s="31">
        <f>Hitos4352[[#This Row],[FECHA FINAL]]-Hitos4352[[#This Row],[FECHA INICIAL]]</f>
        <v>216</v>
      </c>
      <c r="M30" s="100">
        <f ca="1">Hitos4352[[#This Row],[FECHA FINAL]]-E$9</f>
        <v>59</v>
      </c>
      <c r="N30" s="31" t="s">
        <v>37</v>
      </c>
      <c r="O30" s="4"/>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row>
    <row r="31" spans="1:71" s="1" customFormat="1" ht="40.15" customHeight="1" x14ac:dyDescent="0.25">
      <c r="A31" s="27" t="s">
        <v>54</v>
      </c>
      <c r="B31" s="32">
        <v>10000000</v>
      </c>
      <c r="C31" s="32">
        <v>10000000</v>
      </c>
      <c r="D31" s="33">
        <f>Hitos4352[[#This Row],[MONTO INICIAL]]/1200</f>
        <v>8333.3333333333339</v>
      </c>
      <c r="E31" s="33">
        <f>Hitos4352[[#This Row],[A DEVOLVER]]/1200</f>
        <v>8333.3333333333339</v>
      </c>
      <c r="F31" s="28" t="s">
        <v>10</v>
      </c>
      <c r="G31" s="28" t="s">
        <v>34</v>
      </c>
      <c r="H31" s="34">
        <v>0.56000000000000005</v>
      </c>
      <c r="I31" s="29"/>
      <c r="J31" s="30">
        <v>45700</v>
      </c>
      <c r="K31" s="72">
        <v>45796</v>
      </c>
      <c r="L31" s="31">
        <f>Hitos4352[[#This Row],[FECHA FINAL]]-Hitos4352[[#This Row],[FECHA INICIAL]]</f>
        <v>96</v>
      </c>
      <c r="M31" s="100">
        <f ca="1">Hitos4352[[#This Row],[FECHA FINAL]]-E$9</f>
        <v>-74</v>
      </c>
      <c r="N31" s="31" t="s">
        <v>35</v>
      </c>
      <c r="O31" s="4"/>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row>
    <row r="32" spans="1:71" s="1" customFormat="1" ht="40.15" customHeight="1" x14ac:dyDescent="0.25">
      <c r="A32" s="27" t="s">
        <v>55</v>
      </c>
      <c r="B32" s="32">
        <v>3000000</v>
      </c>
      <c r="C32" s="32">
        <v>3000000</v>
      </c>
      <c r="D32" s="33">
        <f>Hitos4352[[#This Row],[MONTO INICIAL]]/1200</f>
        <v>2500</v>
      </c>
      <c r="E32" s="33">
        <f>Hitos4352[[#This Row],[A DEVOLVER]]/1200</f>
        <v>2500</v>
      </c>
      <c r="F32" s="28" t="s">
        <v>10</v>
      </c>
      <c r="G32" s="28" t="s">
        <v>34</v>
      </c>
      <c r="H32" s="34">
        <v>0.57999999999999996</v>
      </c>
      <c r="I32" s="29"/>
      <c r="J32" s="30"/>
      <c r="K32" s="72">
        <v>45838</v>
      </c>
      <c r="L32" s="31"/>
      <c r="M32" s="100"/>
      <c r="N32" s="31" t="s">
        <v>37</v>
      </c>
      <c r="O32" s="4"/>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
      <c r="BH32" s="3"/>
      <c r="BI32" s="3"/>
      <c r="BJ32" s="3"/>
      <c r="BK32" s="3"/>
      <c r="BL32" s="3"/>
      <c r="BM32" s="3"/>
      <c r="BN32" s="3"/>
      <c r="BO32" s="3"/>
      <c r="BP32" s="3"/>
      <c r="BQ32" s="3"/>
      <c r="BR32" s="3"/>
      <c r="BS32" s="3"/>
    </row>
    <row r="33" spans="1:71" s="1" customFormat="1" ht="40.15" customHeight="1" x14ac:dyDescent="0.25">
      <c r="A33" s="93" t="s">
        <v>56</v>
      </c>
      <c r="B33" s="138">
        <f>SUBTOTAL(109,B34:B35)</f>
        <v>43833758.200000003</v>
      </c>
      <c r="C33" s="138">
        <f>SUBTOTAL(109,C34:C35)</f>
        <v>0</v>
      </c>
      <c r="D33" s="139">
        <f>SUBTOTAL(109,D34:D35)</f>
        <v>38552.118029903257</v>
      </c>
      <c r="E33" s="139">
        <f>SUBTOTAL(109,E34:E35)</f>
        <v>0</v>
      </c>
      <c r="F33" s="94"/>
      <c r="G33" s="94"/>
      <c r="H33" s="95"/>
      <c r="I33" s="95"/>
      <c r="J33" s="96"/>
      <c r="K33" s="96"/>
      <c r="L33" s="97"/>
      <c r="M33" s="98"/>
      <c r="N33" s="97"/>
      <c r="O33" s="4"/>
      <c r="P33" s="35" t="str">
        <f t="shared" ref="P33:AU33" ca="1" si="10">IF(AND($F33="Objetivo",P$7&gt;=$J33,P$7&lt;=$J33+$L33-1),2,IF(AND($F33="Hito",P$7&gt;=$J33,P$7&lt;=$J33+$L33-1),1,""))</f>
        <v/>
      </c>
      <c r="Q33" s="35" t="str">
        <f t="shared" ca="1" si="10"/>
        <v/>
      </c>
      <c r="R33" s="35" t="str">
        <f t="shared" ca="1" si="10"/>
        <v/>
      </c>
      <c r="S33" s="35" t="str">
        <f t="shared" ca="1" si="10"/>
        <v/>
      </c>
      <c r="T33" s="35" t="str">
        <f t="shared" ca="1" si="10"/>
        <v/>
      </c>
      <c r="U33" s="35" t="str">
        <f t="shared" ca="1" si="10"/>
        <v/>
      </c>
      <c r="V33" s="35" t="str">
        <f t="shared" ca="1" si="10"/>
        <v/>
      </c>
      <c r="W33" s="35" t="str">
        <f t="shared" ca="1" si="10"/>
        <v/>
      </c>
      <c r="X33" s="35" t="str">
        <f t="shared" ca="1" si="10"/>
        <v/>
      </c>
      <c r="Y33" s="35" t="str">
        <f t="shared" ca="1" si="10"/>
        <v/>
      </c>
      <c r="Z33" s="35" t="str">
        <f t="shared" ca="1" si="10"/>
        <v/>
      </c>
      <c r="AA33" s="35" t="str">
        <f t="shared" ca="1" si="10"/>
        <v/>
      </c>
      <c r="AB33" s="35" t="str">
        <f t="shared" ca="1" si="10"/>
        <v/>
      </c>
      <c r="AC33" s="35" t="str">
        <f t="shared" ca="1" si="10"/>
        <v/>
      </c>
      <c r="AD33" s="35" t="str">
        <f t="shared" ca="1" si="10"/>
        <v/>
      </c>
      <c r="AE33" s="35" t="str">
        <f t="shared" ca="1" si="10"/>
        <v/>
      </c>
      <c r="AF33" s="35" t="str">
        <f t="shared" ca="1" si="10"/>
        <v/>
      </c>
      <c r="AG33" s="35" t="str">
        <f t="shared" ca="1" si="10"/>
        <v/>
      </c>
      <c r="AH33" s="35" t="str">
        <f t="shared" ca="1" si="10"/>
        <v/>
      </c>
      <c r="AI33" s="35" t="str">
        <f t="shared" ca="1" si="10"/>
        <v/>
      </c>
      <c r="AJ33" s="35" t="str">
        <f t="shared" ca="1" si="10"/>
        <v/>
      </c>
      <c r="AK33" s="35" t="str">
        <f t="shared" ca="1" si="10"/>
        <v/>
      </c>
      <c r="AL33" s="35" t="str">
        <f t="shared" ca="1" si="10"/>
        <v/>
      </c>
      <c r="AM33" s="35" t="str">
        <f t="shared" ca="1" si="10"/>
        <v/>
      </c>
      <c r="AN33" s="35" t="str">
        <f t="shared" ca="1" si="10"/>
        <v/>
      </c>
      <c r="AO33" s="35" t="str">
        <f t="shared" ca="1" si="10"/>
        <v/>
      </c>
      <c r="AP33" s="35" t="str">
        <f t="shared" ca="1" si="10"/>
        <v/>
      </c>
      <c r="AQ33" s="35" t="str">
        <f t="shared" ca="1" si="10"/>
        <v/>
      </c>
      <c r="AR33" s="35" t="str">
        <f t="shared" ca="1" si="10"/>
        <v/>
      </c>
      <c r="AS33" s="35" t="str">
        <f t="shared" ca="1" si="10"/>
        <v/>
      </c>
      <c r="AT33" s="35" t="str">
        <f t="shared" ca="1" si="10"/>
        <v/>
      </c>
      <c r="AU33" s="35" t="str">
        <f t="shared" ca="1" si="10"/>
        <v/>
      </c>
      <c r="AV33" s="35" t="str">
        <f t="shared" ref="AV33:BS33" ca="1" si="11">IF(AND($F33="Objetivo",AV$7&gt;=$J33,AV$7&lt;=$J33+$L33-1),2,IF(AND($F33="Hito",AV$7&gt;=$J33,AV$7&lt;=$J33+$L33-1),1,""))</f>
        <v/>
      </c>
      <c r="AW33" s="35" t="str">
        <f t="shared" ca="1" si="11"/>
        <v/>
      </c>
      <c r="AX33" s="35" t="str">
        <f t="shared" ca="1" si="11"/>
        <v/>
      </c>
      <c r="AY33" s="35" t="str">
        <f t="shared" ca="1" si="11"/>
        <v/>
      </c>
      <c r="AZ33" s="35" t="str">
        <f t="shared" ca="1" si="11"/>
        <v/>
      </c>
      <c r="BA33" s="35" t="str">
        <f t="shared" ca="1" si="11"/>
        <v/>
      </c>
      <c r="BB33" s="35" t="str">
        <f t="shared" ca="1" si="11"/>
        <v/>
      </c>
      <c r="BC33" s="35" t="str">
        <f t="shared" ca="1" si="11"/>
        <v/>
      </c>
      <c r="BD33" s="35" t="str">
        <f t="shared" ca="1" si="11"/>
        <v/>
      </c>
      <c r="BE33" s="35" t="str">
        <f t="shared" ca="1" si="11"/>
        <v/>
      </c>
      <c r="BF33" s="35" t="str">
        <f t="shared" ca="1" si="11"/>
        <v/>
      </c>
      <c r="BG33" s="3" t="str">
        <f t="shared" ca="1" si="11"/>
        <v/>
      </c>
      <c r="BH33" s="3" t="str">
        <f t="shared" ca="1" si="11"/>
        <v/>
      </c>
      <c r="BI33" s="3" t="str">
        <f t="shared" ca="1" si="11"/>
        <v/>
      </c>
      <c r="BJ33" s="3" t="str">
        <f t="shared" ca="1" si="11"/>
        <v/>
      </c>
      <c r="BK33" s="3" t="str">
        <f t="shared" ca="1" si="11"/>
        <v/>
      </c>
      <c r="BL33" s="3" t="str">
        <f t="shared" ca="1" si="11"/>
        <v/>
      </c>
      <c r="BM33" s="3" t="str">
        <f t="shared" ca="1" si="11"/>
        <v/>
      </c>
      <c r="BN33" s="3" t="str">
        <f t="shared" ca="1" si="11"/>
        <v/>
      </c>
      <c r="BO33" s="3" t="str">
        <f t="shared" ca="1" si="11"/>
        <v/>
      </c>
      <c r="BP33" s="3" t="str">
        <f t="shared" ca="1" si="11"/>
        <v/>
      </c>
      <c r="BQ33" s="3" t="str">
        <f t="shared" ca="1" si="11"/>
        <v/>
      </c>
      <c r="BR33" s="3" t="str">
        <f t="shared" ca="1" si="11"/>
        <v/>
      </c>
      <c r="BS33" s="3" t="str">
        <f t="shared" ca="1" si="11"/>
        <v/>
      </c>
    </row>
    <row r="34" spans="1:71" s="1" customFormat="1" ht="40.15" customHeight="1" x14ac:dyDescent="0.25">
      <c r="A34" s="27" t="s">
        <v>57</v>
      </c>
      <c r="B34" s="158">
        <v>43650000</v>
      </c>
      <c r="C34" s="99"/>
      <c r="D34" s="33">
        <f>Hitos4352[[#This Row],[MONTO INICIAL]]/$E$8</f>
        <v>38390.501319261217</v>
      </c>
      <c r="E34" s="99"/>
      <c r="F34" s="28"/>
      <c r="G34" s="28" t="s">
        <v>58</v>
      </c>
      <c r="H34" s="34">
        <v>0</v>
      </c>
      <c r="I34" s="29">
        <v>0</v>
      </c>
      <c r="J34" s="30"/>
      <c r="K34" s="30"/>
      <c r="L34" s="31"/>
      <c r="M34" s="100"/>
      <c r="N34" s="31" t="s">
        <v>37</v>
      </c>
      <c r="O34" s="4"/>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
      <c r="BH34" s="3"/>
      <c r="BI34" s="3"/>
      <c r="BJ34" s="3"/>
      <c r="BK34" s="3"/>
      <c r="BL34" s="3"/>
      <c r="BM34" s="3"/>
      <c r="BN34" s="3"/>
      <c r="BO34" s="3"/>
      <c r="BP34" s="3"/>
      <c r="BQ34" s="3"/>
      <c r="BR34" s="3"/>
      <c r="BS34" s="3"/>
    </row>
    <row r="35" spans="1:71" s="1" customFormat="1" ht="40.15" customHeight="1" x14ac:dyDescent="0.25">
      <c r="A35" s="27" t="s">
        <v>59</v>
      </c>
      <c r="B35" s="32">
        <v>183758.2</v>
      </c>
      <c r="C35" s="32"/>
      <c r="D35" s="33">
        <f>Hitos4352[[#This Row],[MONTO INICIAL]]/$E$8</f>
        <v>161.61671064204046</v>
      </c>
      <c r="E35" s="33"/>
      <c r="F35" s="28" t="s">
        <v>8</v>
      </c>
      <c r="G35" s="28" t="s">
        <v>60</v>
      </c>
      <c r="H35" s="34">
        <v>0</v>
      </c>
      <c r="I35" s="29">
        <v>0</v>
      </c>
      <c r="J35" s="30">
        <v>45058</v>
      </c>
      <c r="K35" s="30">
        <v>45118</v>
      </c>
      <c r="L35" s="31">
        <f>Hitos4352[[#This Row],[FECHA FINAL]]-Hitos4352[[#This Row],[FECHA INICIAL]]</f>
        <v>60</v>
      </c>
      <c r="M35" s="100">
        <f ca="1">Hitos4352[[#This Row],[FECHA FINAL]]-$E$9</f>
        <v>-752</v>
      </c>
      <c r="N35" s="92" t="s">
        <v>35</v>
      </c>
      <c r="O35" s="4"/>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
      <c r="BH35" s="3"/>
      <c r="BI35" s="3"/>
      <c r="BJ35" s="3"/>
      <c r="BK35" s="3"/>
      <c r="BL35" s="3"/>
      <c r="BM35" s="3"/>
      <c r="BN35" s="3"/>
      <c r="BO35" s="3"/>
      <c r="BP35" s="3"/>
      <c r="BQ35" s="3"/>
      <c r="BR35" s="3"/>
      <c r="BS35" s="3"/>
    </row>
    <row r="36" spans="1:71" s="1" customFormat="1" ht="40.15" customHeight="1" x14ac:dyDescent="0.25">
      <c r="A36" s="93" t="s">
        <v>61</v>
      </c>
      <c r="B36" s="101">
        <f>SUBTOTAL(109,B37:B43)</f>
        <v>7418000</v>
      </c>
      <c r="C36" s="101">
        <f>SUBTOTAL(109,C37:C43)</f>
        <v>7418000</v>
      </c>
      <c r="D36" s="102">
        <f>SUBTOTAL(109,D37:D43)</f>
        <v>6524.1864555848733</v>
      </c>
      <c r="E36" s="102">
        <f>SUBTOTAL(109,E37:E43)</f>
        <v>6524.1864555848733</v>
      </c>
      <c r="F36" s="94"/>
      <c r="G36" s="94"/>
      <c r="H36" s="95"/>
      <c r="I36" s="95"/>
      <c r="J36" s="96"/>
      <c r="K36" s="96"/>
      <c r="L36" s="97"/>
      <c r="M36" s="98"/>
      <c r="N36" s="97"/>
      <c r="O36" s="4"/>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
      <c r="BH36" s="3"/>
      <c r="BI36" s="3"/>
      <c r="BJ36" s="3"/>
      <c r="BK36" s="3"/>
      <c r="BL36" s="3"/>
      <c r="BM36" s="3"/>
      <c r="BN36" s="3"/>
      <c r="BO36" s="3"/>
      <c r="BP36" s="3"/>
      <c r="BQ36" s="3"/>
      <c r="BR36" s="3"/>
      <c r="BS36" s="3"/>
    </row>
    <row r="37" spans="1:71" s="1" customFormat="1" ht="40.15" customHeight="1" x14ac:dyDescent="0.25">
      <c r="A37" s="27" t="s">
        <v>62</v>
      </c>
      <c r="B37" s="32">
        <v>500000</v>
      </c>
      <c r="C37" s="32">
        <v>500000</v>
      </c>
      <c r="D37" s="33">
        <f>Hitos4352[[#This Row],[MONTO INICIAL]]/$E$8</f>
        <v>439.75373790677219</v>
      </c>
      <c r="E37" s="33">
        <f>Hitos4352[[#This Row],[A DEVOLVER]]/$E$8</f>
        <v>439.75373790677219</v>
      </c>
      <c r="F37" s="28" t="s">
        <v>9</v>
      </c>
      <c r="G37" s="28" t="s">
        <v>63</v>
      </c>
      <c r="H37" s="34">
        <v>0</v>
      </c>
      <c r="I37" s="29"/>
      <c r="J37" s="30">
        <v>45627</v>
      </c>
      <c r="K37" s="30">
        <v>45657</v>
      </c>
      <c r="L37" s="31">
        <v>31</v>
      </c>
      <c r="M37" s="91">
        <f ca="1">Hitos4352[[#This Row],[FECHA FINAL]]-$E$9</f>
        <v>-213</v>
      </c>
      <c r="N37" s="92" t="s">
        <v>37</v>
      </c>
      <c r="O37" s="4"/>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
      <c r="BH37" s="3"/>
      <c r="BI37" s="3"/>
      <c r="BJ37" s="3"/>
      <c r="BK37" s="3"/>
      <c r="BL37" s="3"/>
      <c r="BM37" s="3"/>
      <c r="BN37" s="3"/>
      <c r="BO37" s="3"/>
      <c r="BP37" s="3"/>
      <c r="BQ37" s="3"/>
      <c r="BR37" s="3"/>
      <c r="BS37" s="3"/>
    </row>
    <row r="38" spans="1:71" s="1" customFormat="1" ht="40.15" customHeight="1" x14ac:dyDescent="0.25">
      <c r="A38" s="27" t="s">
        <v>64</v>
      </c>
      <c r="B38" s="32">
        <v>1153000</v>
      </c>
      <c r="C38" s="32">
        <v>1153000</v>
      </c>
      <c r="D38" s="33">
        <f>Hitos4352[[#This Row],[MONTO INICIAL]]/$E$8</f>
        <v>1014.0721196130168</v>
      </c>
      <c r="E38" s="33">
        <f>Hitos4352[[#This Row],[A DEVOLVER]]/$E$8</f>
        <v>1014.0721196130168</v>
      </c>
      <c r="F38" s="28" t="s">
        <v>9</v>
      </c>
      <c r="G38" s="28" t="s">
        <v>65</v>
      </c>
      <c r="H38" s="34">
        <v>0</v>
      </c>
      <c r="I38" s="29"/>
      <c r="J38" s="30">
        <v>45653</v>
      </c>
      <c r="K38" s="30">
        <v>45653</v>
      </c>
      <c r="L38" s="31">
        <f>Hitos4352[[#This Row],[FECHA FINAL]]-Hitos4352[[#This Row],[FECHA INICIAL]]</f>
        <v>0</v>
      </c>
      <c r="M38" s="91"/>
      <c r="N38" s="31" t="s">
        <v>35</v>
      </c>
      <c r="O38" s="4"/>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
      <c r="BH38" s="3"/>
      <c r="BI38" s="3"/>
      <c r="BJ38" s="3"/>
      <c r="BK38" s="3"/>
      <c r="BL38" s="3"/>
      <c r="BM38" s="3"/>
      <c r="BN38" s="3"/>
      <c r="BO38" s="3"/>
      <c r="BP38" s="3"/>
      <c r="BQ38" s="3"/>
      <c r="BR38" s="3"/>
      <c r="BS38" s="3"/>
    </row>
    <row r="39" spans="1:71" s="1" customFormat="1" ht="40.15" customHeight="1" x14ac:dyDescent="0.25">
      <c r="A39" s="27" t="s">
        <v>66</v>
      </c>
      <c r="B39" s="32">
        <v>1153000</v>
      </c>
      <c r="C39" s="32">
        <v>1153000</v>
      </c>
      <c r="D39" s="33">
        <f>Hitos4352[[#This Row],[MONTO INICIAL]]/$E$8</f>
        <v>1014.0721196130168</v>
      </c>
      <c r="E39" s="33">
        <f>Hitos4352[[#This Row],[A DEVOLVER]]/$E$8</f>
        <v>1014.0721196130168</v>
      </c>
      <c r="F39" s="28" t="s">
        <v>9</v>
      </c>
      <c r="G39" s="28" t="s">
        <v>65</v>
      </c>
      <c r="H39" s="127">
        <v>0</v>
      </c>
      <c r="I39" s="128"/>
      <c r="J39" s="30">
        <v>45653</v>
      </c>
      <c r="K39" s="30">
        <v>45667</v>
      </c>
      <c r="L39" s="31">
        <f>Hitos4352[[#This Row],[FECHA FINAL]]-Hitos4352[[#This Row],[FECHA INICIAL]]</f>
        <v>14</v>
      </c>
      <c r="M39" s="100"/>
      <c r="N39" s="31" t="s">
        <v>35</v>
      </c>
      <c r="O39" s="4"/>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
      <c r="BH39" s="3"/>
      <c r="BI39" s="3"/>
      <c r="BJ39" s="3"/>
      <c r="BK39" s="3"/>
      <c r="BL39" s="3"/>
      <c r="BM39" s="3"/>
      <c r="BN39" s="3"/>
      <c r="BO39" s="3"/>
      <c r="BP39" s="3"/>
      <c r="BQ39" s="3"/>
      <c r="BR39" s="3"/>
      <c r="BS39" s="3"/>
    </row>
    <row r="40" spans="1:71" s="1" customFormat="1" ht="40.15" customHeight="1" x14ac:dyDescent="0.25">
      <c r="A40" s="27" t="s">
        <v>67</v>
      </c>
      <c r="B40" s="32">
        <v>1153000</v>
      </c>
      <c r="C40" s="32">
        <v>1153000</v>
      </c>
      <c r="D40" s="33">
        <f>Hitos4352[[#This Row],[MONTO INICIAL]]/$E$8</f>
        <v>1014.0721196130168</v>
      </c>
      <c r="E40" s="33">
        <f>Hitos4352[[#This Row],[A DEVOLVER]]/$E$8</f>
        <v>1014.0721196130168</v>
      </c>
      <c r="F40" s="28" t="s">
        <v>9</v>
      </c>
      <c r="G40" s="28" t="s">
        <v>65</v>
      </c>
      <c r="H40" s="127">
        <v>0</v>
      </c>
      <c r="I40" s="128"/>
      <c r="J40" s="30">
        <v>45653</v>
      </c>
      <c r="K40" s="30">
        <v>45698</v>
      </c>
      <c r="L40" s="31">
        <f>Hitos4352[[#This Row],[FECHA FINAL]]-Hitos4352[[#This Row],[FECHA INICIAL]]</f>
        <v>45</v>
      </c>
      <c r="M40" s="100"/>
      <c r="N40" s="31" t="s">
        <v>35</v>
      </c>
      <c r="O40" s="4"/>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
      <c r="BH40" s="3"/>
      <c r="BI40" s="3"/>
      <c r="BJ40" s="3"/>
      <c r="BK40" s="3"/>
      <c r="BL40" s="3"/>
      <c r="BM40" s="3"/>
      <c r="BN40" s="3"/>
      <c r="BO40" s="3"/>
      <c r="BP40" s="3"/>
      <c r="BQ40" s="3"/>
      <c r="BR40" s="3"/>
      <c r="BS40" s="3"/>
    </row>
    <row r="41" spans="1:71" s="1" customFormat="1" ht="40.15" customHeight="1" x14ac:dyDescent="0.25">
      <c r="A41" s="27" t="s">
        <v>68</v>
      </c>
      <c r="B41" s="32">
        <v>1153000</v>
      </c>
      <c r="C41" s="32">
        <v>1153000</v>
      </c>
      <c r="D41" s="33">
        <f>Hitos4352[[#This Row],[MONTO INICIAL]]/$E$8</f>
        <v>1014.0721196130168</v>
      </c>
      <c r="E41" s="33">
        <f>Hitos4352[[#This Row],[A DEVOLVER]]/$E$8</f>
        <v>1014.0721196130168</v>
      </c>
      <c r="F41" s="28" t="s">
        <v>9</v>
      </c>
      <c r="G41" s="28" t="s">
        <v>65</v>
      </c>
      <c r="H41" s="127">
        <v>0</v>
      </c>
      <c r="I41" s="128"/>
      <c r="J41" s="30">
        <v>45653</v>
      </c>
      <c r="K41" s="30">
        <v>45726</v>
      </c>
      <c r="L41" s="31">
        <f>Hitos4352[[#This Row],[FECHA FINAL]]-Hitos4352[[#This Row],[FECHA INICIAL]]</f>
        <v>73</v>
      </c>
      <c r="M41" s="100"/>
      <c r="N41" s="31" t="s">
        <v>35</v>
      </c>
      <c r="O41" s="4"/>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
      <c r="BH41" s="3"/>
      <c r="BI41" s="3"/>
      <c r="BJ41" s="3"/>
      <c r="BK41" s="3"/>
      <c r="BL41" s="3"/>
      <c r="BM41" s="3"/>
      <c r="BN41" s="3"/>
      <c r="BO41" s="3"/>
      <c r="BP41" s="3"/>
      <c r="BQ41" s="3"/>
      <c r="BR41" s="3"/>
      <c r="BS41" s="3"/>
    </row>
    <row r="42" spans="1:71" s="1" customFormat="1" ht="40.15" customHeight="1" x14ac:dyDescent="0.25">
      <c r="A42" s="27" t="s">
        <v>69</v>
      </c>
      <c r="B42" s="32">
        <v>1153000</v>
      </c>
      <c r="C42" s="32">
        <v>1153000</v>
      </c>
      <c r="D42" s="33">
        <f>Hitos4352[[#This Row],[MONTO INICIAL]]/$E$8</f>
        <v>1014.0721196130168</v>
      </c>
      <c r="E42" s="33">
        <f>Hitos4352[[#This Row],[A DEVOLVER]]/$E$8</f>
        <v>1014.0721196130168</v>
      </c>
      <c r="F42" s="28" t="s">
        <v>9</v>
      </c>
      <c r="G42" s="28" t="s">
        <v>65</v>
      </c>
      <c r="H42" s="34">
        <v>0</v>
      </c>
      <c r="I42" s="29"/>
      <c r="J42" s="30">
        <v>45653</v>
      </c>
      <c r="K42" s="72">
        <v>45757</v>
      </c>
      <c r="L42" s="31">
        <f>Hitos4352[[#This Row],[FECHA FINAL]]-Hitos4352[[#This Row],[FECHA INICIAL]]</f>
        <v>104</v>
      </c>
      <c r="M42" s="100"/>
      <c r="N42" s="31" t="s">
        <v>35</v>
      </c>
      <c r="O42" s="4"/>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
      <c r="BH42" s="3"/>
      <c r="BI42" s="3"/>
      <c r="BJ42" s="3"/>
      <c r="BK42" s="3"/>
      <c r="BL42" s="3"/>
      <c r="BM42" s="3"/>
      <c r="BN42" s="3"/>
      <c r="BO42" s="3"/>
      <c r="BP42" s="3"/>
      <c r="BQ42" s="3"/>
      <c r="BR42" s="3"/>
      <c r="BS42" s="3"/>
    </row>
    <row r="43" spans="1:71" s="1" customFormat="1" ht="40.15" customHeight="1" x14ac:dyDescent="0.25">
      <c r="A43" s="27" t="s">
        <v>70</v>
      </c>
      <c r="B43" s="32">
        <v>1153000</v>
      </c>
      <c r="C43" s="32">
        <v>1153000</v>
      </c>
      <c r="D43" s="33">
        <f>Hitos4352[[#This Row],[MONTO INICIAL]]/$E$8</f>
        <v>1014.0721196130168</v>
      </c>
      <c r="E43" s="33">
        <f>Hitos4352[[#This Row],[A DEVOLVER]]/$E$8</f>
        <v>1014.0721196130168</v>
      </c>
      <c r="F43" s="28" t="s">
        <v>9</v>
      </c>
      <c r="G43" s="28" t="s">
        <v>65</v>
      </c>
      <c r="H43" s="34">
        <v>0</v>
      </c>
      <c r="I43" s="29"/>
      <c r="J43" s="30">
        <v>45653</v>
      </c>
      <c r="K43" s="72">
        <v>45787</v>
      </c>
      <c r="L43" s="31">
        <f>Hitos4352[[#This Row],[FECHA FINAL]]-Hitos4352[[#This Row],[FECHA INICIAL]]</f>
        <v>134</v>
      </c>
      <c r="M43" s="100"/>
      <c r="N43" s="31" t="s">
        <v>35</v>
      </c>
      <c r="O43" s="4"/>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
      <c r="BH43" s="3"/>
      <c r="BI43" s="3"/>
      <c r="BJ43" s="3"/>
      <c r="BK43" s="3"/>
      <c r="BL43" s="3"/>
      <c r="BM43" s="3"/>
      <c r="BN43" s="3"/>
      <c r="BO43" s="3"/>
      <c r="BP43" s="3"/>
      <c r="BQ43" s="3"/>
      <c r="BR43" s="3"/>
      <c r="BS43" s="3"/>
    </row>
    <row r="44" spans="1:71" s="1" customFormat="1" ht="40.15" customHeight="1" x14ac:dyDescent="0.25">
      <c r="A44" s="93" t="s">
        <v>71</v>
      </c>
      <c r="B44" s="101">
        <f>SUBTOTAL(109,B45:B61)</f>
        <v>201074150.67359996</v>
      </c>
      <c r="C44" s="101"/>
      <c r="D44" s="102">
        <f>SUBTOTAL(109,D45:D61)</f>
        <v>196594.64567360003</v>
      </c>
      <c r="E44" s="102"/>
      <c r="F44" s="94"/>
      <c r="G44" s="94"/>
      <c r="H44" s="95"/>
      <c r="I44" s="95"/>
      <c r="J44" s="96"/>
      <c r="K44" s="96"/>
      <c r="L44" s="97"/>
      <c r="M44" s="98"/>
      <c r="N44" s="97"/>
      <c r="O44" s="4"/>
      <c r="P44" s="35" t="str">
        <f t="shared" ref="P44:AU44" ca="1" si="12">IF(AND($F44="Objetivo",P$7&gt;=$J44,P$7&lt;=$J44+$L44-1),2,IF(AND($F44="Hito",P$7&gt;=$J44,P$7&lt;=$J44+$L44-1),1,""))</f>
        <v/>
      </c>
      <c r="Q44" s="35" t="str">
        <f t="shared" ca="1" si="12"/>
        <v/>
      </c>
      <c r="R44" s="35" t="str">
        <f t="shared" ca="1" si="12"/>
        <v/>
      </c>
      <c r="S44" s="35" t="str">
        <f t="shared" ca="1" si="12"/>
        <v/>
      </c>
      <c r="T44" s="35" t="str">
        <f t="shared" ca="1" si="12"/>
        <v/>
      </c>
      <c r="U44" s="35" t="str">
        <f t="shared" ca="1" si="12"/>
        <v/>
      </c>
      <c r="V44" s="35" t="str">
        <f t="shared" ca="1" si="12"/>
        <v/>
      </c>
      <c r="W44" s="35" t="str">
        <f t="shared" ca="1" si="12"/>
        <v/>
      </c>
      <c r="X44" s="35" t="str">
        <f t="shared" ca="1" si="12"/>
        <v/>
      </c>
      <c r="Y44" s="35" t="str">
        <f t="shared" ca="1" si="12"/>
        <v/>
      </c>
      <c r="Z44" s="35" t="str">
        <f t="shared" ca="1" si="12"/>
        <v/>
      </c>
      <c r="AA44" s="35" t="str">
        <f t="shared" ca="1" si="12"/>
        <v/>
      </c>
      <c r="AB44" s="35" t="str">
        <f t="shared" ca="1" si="12"/>
        <v/>
      </c>
      <c r="AC44" s="35" t="str">
        <f t="shared" ca="1" si="12"/>
        <v/>
      </c>
      <c r="AD44" s="35" t="str">
        <f t="shared" ca="1" si="12"/>
        <v/>
      </c>
      <c r="AE44" s="35" t="str">
        <f t="shared" ca="1" si="12"/>
        <v/>
      </c>
      <c r="AF44" s="35" t="str">
        <f t="shared" ca="1" si="12"/>
        <v/>
      </c>
      <c r="AG44" s="35" t="str">
        <f t="shared" ca="1" si="12"/>
        <v/>
      </c>
      <c r="AH44" s="35" t="str">
        <f t="shared" ca="1" si="12"/>
        <v/>
      </c>
      <c r="AI44" s="35" t="str">
        <f t="shared" ca="1" si="12"/>
        <v/>
      </c>
      <c r="AJ44" s="35" t="str">
        <f t="shared" ca="1" si="12"/>
        <v/>
      </c>
      <c r="AK44" s="35" t="str">
        <f t="shared" ca="1" si="12"/>
        <v/>
      </c>
      <c r="AL44" s="35" t="str">
        <f t="shared" ca="1" si="12"/>
        <v/>
      </c>
      <c r="AM44" s="35" t="str">
        <f t="shared" ca="1" si="12"/>
        <v/>
      </c>
      <c r="AN44" s="35" t="str">
        <f t="shared" ca="1" si="12"/>
        <v/>
      </c>
      <c r="AO44" s="35" t="str">
        <f t="shared" ca="1" si="12"/>
        <v/>
      </c>
      <c r="AP44" s="35" t="str">
        <f t="shared" ca="1" si="12"/>
        <v/>
      </c>
      <c r="AQ44" s="35" t="str">
        <f t="shared" ca="1" si="12"/>
        <v/>
      </c>
      <c r="AR44" s="35" t="str">
        <f t="shared" ca="1" si="12"/>
        <v/>
      </c>
      <c r="AS44" s="35" t="str">
        <f t="shared" ca="1" si="12"/>
        <v/>
      </c>
      <c r="AT44" s="35" t="str">
        <f t="shared" ca="1" si="12"/>
        <v/>
      </c>
      <c r="AU44" s="35" t="str">
        <f t="shared" ca="1" si="12"/>
        <v/>
      </c>
      <c r="AV44" s="35" t="str">
        <f t="shared" ref="AV44:BS44" ca="1" si="13">IF(AND($F44="Objetivo",AV$7&gt;=$J44,AV$7&lt;=$J44+$L44-1),2,IF(AND($F44="Hito",AV$7&gt;=$J44,AV$7&lt;=$J44+$L44-1),1,""))</f>
        <v/>
      </c>
      <c r="AW44" s="35" t="str">
        <f t="shared" ca="1" si="13"/>
        <v/>
      </c>
      <c r="AX44" s="35" t="str">
        <f t="shared" ca="1" si="13"/>
        <v/>
      </c>
      <c r="AY44" s="35" t="str">
        <f t="shared" ca="1" si="13"/>
        <v/>
      </c>
      <c r="AZ44" s="35" t="str">
        <f t="shared" ca="1" si="13"/>
        <v/>
      </c>
      <c r="BA44" s="35" t="str">
        <f t="shared" ca="1" si="13"/>
        <v/>
      </c>
      <c r="BB44" s="35" t="str">
        <f t="shared" ca="1" si="13"/>
        <v/>
      </c>
      <c r="BC44" s="35" t="str">
        <f t="shared" ca="1" si="13"/>
        <v/>
      </c>
      <c r="BD44" s="35" t="str">
        <f t="shared" ca="1" si="13"/>
        <v/>
      </c>
      <c r="BE44" s="35" t="str">
        <f t="shared" ca="1" si="13"/>
        <v/>
      </c>
      <c r="BF44" s="35" t="str">
        <f t="shared" ca="1" si="13"/>
        <v/>
      </c>
      <c r="BG44" s="35" t="str">
        <f t="shared" ca="1" si="13"/>
        <v/>
      </c>
      <c r="BH44" s="35" t="str">
        <f t="shared" ca="1" si="13"/>
        <v/>
      </c>
      <c r="BI44" s="35" t="str">
        <f t="shared" ca="1" si="13"/>
        <v/>
      </c>
      <c r="BJ44" s="35" t="str">
        <f t="shared" ca="1" si="13"/>
        <v/>
      </c>
      <c r="BK44" s="35" t="str">
        <f t="shared" ca="1" si="13"/>
        <v/>
      </c>
      <c r="BL44" s="35" t="str">
        <f t="shared" ca="1" si="13"/>
        <v/>
      </c>
      <c r="BM44" s="35" t="str">
        <f t="shared" ca="1" si="13"/>
        <v/>
      </c>
      <c r="BN44" s="35" t="str">
        <f t="shared" ca="1" si="13"/>
        <v/>
      </c>
      <c r="BO44" s="35" t="str">
        <f t="shared" ca="1" si="13"/>
        <v/>
      </c>
      <c r="BP44" s="35" t="str">
        <f t="shared" ca="1" si="13"/>
        <v/>
      </c>
      <c r="BQ44" s="35" t="str">
        <f t="shared" ca="1" si="13"/>
        <v/>
      </c>
      <c r="BR44" s="35" t="str">
        <f t="shared" ca="1" si="13"/>
        <v/>
      </c>
      <c r="BS44" s="35" t="str">
        <f t="shared" ca="1" si="13"/>
        <v/>
      </c>
    </row>
    <row r="45" spans="1:71" s="1" customFormat="1" ht="40.15" customHeight="1" x14ac:dyDescent="0.25">
      <c r="A45" s="172" t="s">
        <v>72</v>
      </c>
      <c r="B45" s="142">
        <v>15000000</v>
      </c>
      <c r="C45" s="142"/>
      <c r="D45" s="143">
        <f>Hitos4352[[#This Row],[MONTO INICIAL]]/1000</f>
        <v>15000</v>
      </c>
      <c r="E45" s="143"/>
      <c r="F45" s="144" t="s">
        <v>8</v>
      </c>
      <c r="G45" s="144" t="s">
        <v>73</v>
      </c>
      <c r="H45" s="145">
        <v>0</v>
      </c>
      <c r="I45" s="146"/>
      <c r="J45" s="147">
        <v>45616</v>
      </c>
      <c r="K45" s="149">
        <v>45838</v>
      </c>
      <c r="L45" s="148">
        <f>Hitos4352[[#This Row],[FECHA FINAL]]-Hitos4352[[#This Row],[FECHA INICIAL]]</f>
        <v>222</v>
      </c>
      <c r="M45" s="150">
        <f ca="1">Hitos4352[[#This Row],[FECHA FINAL]]-$E$9</f>
        <v>-32</v>
      </c>
      <c r="N45" s="148" t="s">
        <v>35</v>
      </c>
      <c r="O45" s="4"/>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row>
    <row r="46" spans="1:71" s="1" customFormat="1" ht="40.15" customHeight="1" x14ac:dyDescent="0.25">
      <c r="A46" s="27" t="s">
        <v>72</v>
      </c>
      <c r="B46" s="32">
        <v>15000000</v>
      </c>
      <c r="C46" s="32"/>
      <c r="D46" s="33">
        <f>Hitos4352[[#This Row],[MONTO INICIAL]]/1000</f>
        <v>15000</v>
      </c>
      <c r="E46" s="33"/>
      <c r="F46" s="28" t="s">
        <v>8</v>
      </c>
      <c r="G46" s="28" t="s">
        <v>73</v>
      </c>
      <c r="H46" s="34">
        <v>0</v>
      </c>
      <c r="I46" s="29"/>
      <c r="J46" s="30">
        <v>45617</v>
      </c>
      <c r="K46" s="72">
        <v>45866</v>
      </c>
      <c r="L46" s="31">
        <f>Hitos4352[[#This Row],[FECHA FINAL]]-Hitos4352[[#This Row],[FECHA INICIAL]]</f>
        <v>249</v>
      </c>
      <c r="M46" s="91">
        <f ca="1">Hitos4352[[#This Row],[FECHA FINAL]]-$E$9</f>
        <v>-4</v>
      </c>
      <c r="N46" s="92" t="s">
        <v>37</v>
      </c>
      <c r="O46" s="4"/>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row>
    <row r="47" spans="1:71" s="1" customFormat="1" ht="40.15" customHeight="1" x14ac:dyDescent="0.25">
      <c r="A47" s="27" t="s">
        <v>74</v>
      </c>
      <c r="B47" s="32">
        <v>22589000</v>
      </c>
      <c r="C47" s="32"/>
      <c r="D47" s="33">
        <f>Hitos4352[[#This Row],[MONTO INICIAL]]/1000</f>
        <v>22589</v>
      </c>
      <c r="E47" s="33"/>
      <c r="F47" s="28" t="s">
        <v>8</v>
      </c>
      <c r="G47" s="28" t="s">
        <v>75</v>
      </c>
      <c r="H47" s="34">
        <v>0</v>
      </c>
      <c r="I47" s="29"/>
      <c r="J47" s="30">
        <v>45585</v>
      </c>
      <c r="K47" s="72">
        <v>45892</v>
      </c>
      <c r="L47" s="31"/>
      <c r="M47" s="91"/>
      <c r="N47" s="92" t="s">
        <v>37</v>
      </c>
      <c r="O47" s="4"/>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row>
    <row r="48" spans="1:71" s="1" customFormat="1" ht="40.15" customHeight="1" x14ac:dyDescent="0.25">
      <c r="A48" s="172" t="s">
        <v>76</v>
      </c>
      <c r="B48" s="142">
        <v>3392880</v>
      </c>
      <c r="C48" s="142">
        <v>4784051.95</v>
      </c>
      <c r="D48" s="143">
        <f>Hitos4352[[#This Row],[MONTO INICIAL]]/1000</f>
        <v>3392.88</v>
      </c>
      <c r="E48" s="143">
        <f>Hitos4352[[#This Row],[A DEVOLVER]]/1300</f>
        <v>3680.0399615384617</v>
      </c>
      <c r="F48" s="144" t="s">
        <v>8</v>
      </c>
      <c r="G48" s="144" t="s">
        <v>73</v>
      </c>
      <c r="H48" s="145">
        <v>0</v>
      </c>
      <c r="I48" s="146"/>
      <c r="J48" s="147">
        <v>45575</v>
      </c>
      <c r="K48" s="149">
        <v>45797</v>
      </c>
      <c r="L48" s="148">
        <f>Hitos4352[[#This Row],[FECHA FINAL]]-Hitos4352[[#This Row],[FECHA INICIAL]]</f>
        <v>222</v>
      </c>
      <c r="M48" s="150">
        <f ca="1">Hitos4352[[#This Row],[FECHA FINAL]]-$E$9</f>
        <v>-73</v>
      </c>
      <c r="N48" s="148" t="s">
        <v>35</v>
      </c>
      <c r="O48" s="4"/>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row>
    <row r="49" spans="1:71" s="1" customFormat="1" ht="40.15" customHeight="1" x14ac:dyDescent="0.25">
      <c r="A49" s="172" t="s">
        <v>77</v>
      </c>
      <c r="B49" s="142">
        <v>11051058.720000001</v>
      </c>
      <c r="C49" s="142"/>
      <c r="D49" s="143">
        <f>Hitos4352[[#This Row],[MONTO INICIAL]]/1000</f>
        <v>11051.058720000001</v>
      </c>
      <c r="E49" s="143"/>
      <c r="F49" s="144" t="s">
        <v>8</v>
      </c>
      <c r="G49" s="144" t="s">
        <v>73</v>
      </c>
      <c r="H49" s="145">
        <v>0</v>
      </c>
      <c r="I49" s="146"/>
      <c r="J49" s="147">
        <v>45624</v>
      </c>
      <c r="K49" s="147">
        <v>45807</v>
      </c>
      <c r="L49" s="148">
        <f>Hitos4352[[#This Row],[FECHA FINAL]]-Hitos4352[[#This Row],[FECHA INICIAL]]</f>
        <v>183</v>
      </c>
      <c r="M49" s="150">
        <f ca="1">Hitos4352[[#This Row],[FECHA FINAL]]-$E$9</f>
        <v>-63</v>
      </c>
      <c r="N49" s="148" t="s">
        <v>35</v>
      </c>
      <c r="O49" s="4"/>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row>
    <row r="50" spans="1:71" s="1" customFormat="1" ht="40.15" customHeight="1" x14ac:dyDescent="0.25">
      <c r="A50" s="172" t="s">
        <v>78</v>
      </c>
      <c r="B50" s="142">
        <v>1286036</v>
      </c>
      <c r="C50" s="142"/>
      <c r="D50" s="143">
        <v>1234.2</v>
      </c>
      <c r="E50" s="143"/>
      <c r="F50" s="144" t="s">
        <v>8</v>
      </c>
      <c r="G50" s="144" t="s">
        <v>73</v>
      </c>
      <c r="H50" s="145">
        <v>0</v>
      </c>
      <c r="I50" s="146"/>
      <c r="J50" s="147">
        <v>45673</v>
      </c>
      <c r="K50" s="147">
        <v>45807</v>
      </c>
      <c r="L50" s="148">
        <f>Hitos4352[[#This Row],[FECHA FINAL]]-Hitos4352[[#This Row],[FECHA INICIAL]]</f>
        <v>134</v>
      </c>
      <c r="M50" s="150">
        <f ca="1">Hitos4352[[#This Row],[FECHA FINAL]]-$E$9</f>
        <v>-63</v>
      </c>
      <c r="N50" s="148" t="s">
        <v>35</v>
      </c>
      <c r="O50" s="4"/>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row>
    <row r="51" spans="1:71" s="1" customFormat="1" ht="40.15" customHeight="1" x14ac:dyDescent="0.25">
      <c r="A51" s="27" t="s">
        <v>79</v>
      </c>
      <c r="B51" s="32">
        <v>8304509</v>
      </c>
      <c r="C51" s="32">
        <v>8304509</v>
      </c>
      <c r="D51" s="33">
        <v>3876.84</v>
      </c>
      <c r="E51" s="33">
        <f>Hitos4352[[#This Row],[A DEVOLVER]]/1300</f>
        <v>6388.083846153846</v>
      </c>
      <c r="F51" s="28" t="s">
        <v>8</v>
      </c>
      <c r="G51" s="28" t="s">
        <v>73</v>
      </c>
      <c r="H51" s="34">
        <v>0</v>
      </c>
      <c r="I51" s="29"/>
      <c r="J51" s="30">
        <v>45545</v>
      </c>
      <c r="K51" s="30">
        <v>45807</v>
      </c>
      <c r="L51" s="31">
        <f>Hitos4352[[#This Row],[FECHA FINAL]]-Hitos4352[[#This Row],[FECHA INICIAL]]</f>
        <v>262</v>
      </c>
      <c r="M51" s="91">
        <f ca="1">Hitos4352[[#This Row],[FECHA FINAL]]-$E$9</f>
        <v>-63</v>
      </c>
      <c r="N51" s="92" t="s">
        <v>80</v>
      </c>
      <c r="O51" s="4"/>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row>
    <row r="52" spans="1:71" s="1" customFormat="1" ht="40.15" customHeight="1" x14ac:dyDescent="0.25">
      <c r="A52" s="27" t="s">
        <v>81</v>
      </c>
      <c r="B52" s="32">
        <v>11000000</v>
      </c>
      <c r="C52" s="32">
        <v>16000000</v>
      </c>
      <c r="D52" s="33">
        <f>Hitos4352[[#This Row],[MONTO INICIAL]]/1000</f>
        <v>11000</v>
      </c>
      <c r="E52" s="33">
        <f>Hitos4352[[#This Row],[A DEVOLVER]]/1300</f>
        <v>12307.692307692309</v>
      </c>
      <c r="F52" s="28" t="s">
        <v>8</v>
      </c>
      <c r="G52" s="28" t="s">
        <v>73</v>
      </c>
      <c r="H52" s="34">
        <v>0</v>
      </c>
      <c r="I52" s="29"/>
      <c r="J52" s="30"/>
      <c r="K52" s="30">
        <v>45868</v>
      </c>
      <c r="L52" s="31"/>
      <c r="M52" s="91"/>
      <c r="N52" s="92" t="s">
        <v>80</v>
      </c>
      <c r="O52" s="4"/>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row>
    <row r="53" spans="1:71" s="1" customFormat="1" ht="40.15" customHeight="1" x14ac:dyDescent="0.25">
      <c r="A53" s="27" t="s">
        <v>82</v>
      </c>
      <c r="B53" s="32">
        <v>16912539.2436</v>
      </c>
      <c r="C53" s="32"/>
      <c r="D53" s="33">
        <f>Hitos4352[[#This Row],[MONTO INICIAL]]/1000</f>
        <v>16912.5392436</v>
      </c>
      <c r="E53" s="33"/>
      <c r="F53" s="28" t="s">
        <v>8</v>
      </c>
      <c r="G53" s="28" t="s">
        <v>73</v>
      </c>
      <c r="H53" s="34">
        <v>0</v>
      </c>
      <c r="I53" s="29"/>
      <c r="J53" s="122">
        <v>45708</v>
      </c>
      <c r="K53" s="122">
        <v>45853</v>
      </c>
      <c r="L53" s="92">
        <f>Hitos4352[[#This Row],[FECHA FINAL]]-Hitos4352[[#This Row],[FECHA INICIAL]]</f>
        <v>145</v>
      </c>
      <c r="M53" s="91">
        <f ca="1">Hitos4352[[#This Row],[FECHA FINAL]]-$E$9</f>
        <v>-17</v>
      </c>
      <c r="N53" s="92" t="s">
        <v>37</v>
      </c>
      <c r="O53" s="4"/>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row>
    <row r="54" spans="1:71" s="1" customFormat="1" ht="40.15" customHeight="1" x14ac:dyDescent="0.25">
      <c r="A54" s="27"/>
      <c r="B54" s="32"/>
      <c r="C54" s="32"/>
      <c r="D54" s="33"/>
      <c r="E54" s="33"/>
      <c r="F54" s="28"/>
      <c r="G54" s="28"/>
      <c r="H54" s="34"/>
      <c r="I54" s="29"/>
      <c r="J54" s="122"/>
      <c r="K54" s="122"/>
      <c r="L54" s="92"/>
      <c r="M54" s="91"/>
      <c r="N54" s="92"/>
      <c r="O54" s="4"/>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row>
    <row r="55" spans="1:71" s="1" customFormat="1" ht="40.15" customHeight="1" x14ac:dyDescent="0.25">
      <c r="A55" s="172" t="s">
        <v>83</v>
      </c>
      <c r="B55" s="142">
        <v>0</v>
      </c>
      <c r="C55" s="142"/>
      <c r="D55" s="143">
        <f>Hitos4352[[#This Row],[MONTO INICIAL]]/1000</f>
        <v>0</v>
      </c>
      <c r="E55" s="143"/>
      <c r="F55" s="144" t="s">
        <v>8</v>
      </c>
      <c r="G55" s="144" t="s">
        <v>63</v>
      </c>
      <c r="H55" s="145">
        <v>0</v>
      </c>
      <c r="I55" s="146"/>
      <c r="J55" s="147">
        <v>45658</v>
      </c>
      <c r="K55" s="147">
        <v>45689</v>
      </c>
      <c r="L55" s="148">
        <f>Hitos4352[[#This Row],[FECHA FINAL]]-Hitos4352[[#This Row],[FECHA INICIAL]]</f>
        <v>31</v>
      </c>
      <c r="M55" s="150">
        <f ca="1">Hitos4352[[#This Row],[FECHA FINAL]]-$E$9</f>
        <v>-181</v>
      </c>
      <c r="N55" s="148" t="s">
        <v>35</v>
      </c>
      <c r="O55" s="4"/>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row>
    <row r="56" spans="1:71" s="1" customFormat="1" ht="40.15" customHeight="1" x14ac:dyDescent="0.25">
      <c r="A56" s="172" t="s">
        <v>84</v>
      </c>
      <c r="B56" s="142">
        <v>0</v>
      </c>
      <c r="C56" s="142"/>
      <c r="D56" s="143">
        <f>Hitos4352[[#This Row],[MONTO INICIAL]]/1000</f>
        <v>0</v>
      </c>
      <c r="E56" s="143"/>
      <c r="F56" s="144" t="s">
        <v>8</v>
      </c>
      <c r="G56" s="144" t="s">
        <v>63</v>
      </c>
      <c r="H56" s="145">
        <v>0</v>
      </c>
      <c r="I56" s="146"/>
      <c r="J56" s="147">
        <v>45689</v>
      </c>
      <c r="K56" s="147">
        <v>45716</v>
      </c>
      <c r="L56" s="148">
        <f>Hitos4352[[#This Row],[FECHA FINAL]]-Hitos4352[[#This Row],[FECHA INICIAL]]</f>
        <v>27</v>
      </c>
      <c r="M56" s="150">
        <f ca="1">Hitos4352[[#This Row],[FECHA FINAL]]-$E$9</f>
        <v>-154</v>
      </c>
      <c r="N56" s="148" t="s">
        <v>35</v>
      </c>
      <c r="O56" s="4"/>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row>
    <row r="57" spans="1:71" s="1" customFormat="1" ht="40.15" customHeight="1" x14ac:dyDescent="0.25">
      <c r="A57" s="172" t="s">
        <v>85</v>
      </c>
      <c r="B57" s="142">
        <v>0</v>
      </c>
      <c r="C57" s="142"/>
      <c r="D57" s="143">
        <f>Hitos4352[[#This Row],[MONTO INICIAL]]/1000</f>
        <v>0</v>
      </c>
      <c r="E57" s="143"/>
      <c r="F57" s="144" t="s">
        <v>8</v>
      </c>
      <c r="G57" s="144" t="s">
        <v>63</v>
      </c>
      <c r="H57" s="145">
        <v>0</v>
      </c>
      <c r="I57" s="146"/>
      <c r="J57" s="147">
        <v>45717</v>
      </c>
      <c r="K57" s="147">
        <v>45747</v>
      </c>
      <c r="L57" s="148">
        <f>Hitos4352[[#This Row],[FECHA FINAL]]-Hitos4352[[#This Row],[FECHA INICIAL]]</f>
        <v>30</v>
      </c>
      <c r="M57" s="150">
        <f ca="1">Hitos4352[[#This Row],[FECHA FINAL]]-$E$9</f>
        <v>-123</v>
      </c>
      <c r="N57" s="148" t="s">
        <v>35</v>
      </c>
      <c r="O57" s="4"/>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row>
    <row r="58" spans="1:71" s="1" customFormat="1" ht="40.15" customHeight="1" x14ac:dyDescent="0.25">
      <c r="A58" s="172" t="s">
        <v>86</v>
      </c>
      <c r="B58" s="173">
        <v>1553833.94</v>
      </c>
      <c r="C58" s="142"/>
      <c r="D58" s="143">
        <f>Hitos4352[[#This Row],[MONTO INICIAL]]/1000</f>
        <v>1553.83394</v>
      </c>
      <c r="E58" s="143"/>
      <c r="F58" s="144" t="s">
        <v>8</v>
      </c>
      <c r="G58" s="144" t="s">
        <v>63</v>
      </c>
      <c r="H58" s="145">
        <v>0</v>
      </c>
      <c r="I58" s="146"/>
      <c r="J58" s="147">
        <v>45748</v>
      </c>
      <c r="K58" s="147">
        <v>45777</v>
      </c>
      <c r="L58" s="148">
        <f>Hitos4352[[#This Row],[FECHA FINAL]]-Hitos4352[[#This Row],[FECHA INICIAL]]</f>
        <v>29</v>
      </c>
      <c r="M58" s="150">
        <f ca="1">Hitos4352[[#This Row],[FECHA FINAL]]-$E$9</f>
        <v>-93</v>
      </c>
      <c r="N58" s="148" t="s">
        <v>35</v>
      </c>
      <c r="O58" s="4"/>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row>
    <row r="59" spans="1:71" s="1" customFormat="1" ht="40.15" customHeight="1" x14ac:dyDescent="0.25">
      <c r="A59" s="172" t="s">
        <v>87</v>
      </c>
      <c r="B59" s="173">
        <v>4265782.55</v>
      </c>
      <c r="C59" s="142"/>
      <c r="D59" s="143">
        <f>Hitos4352[[#This Row],[MONTO INICIAL]]/1000</f>
        <v>4265.7825499999999</v>
      </c>
      <c r="E59" s="143"/>
      <c r="F59" s="144" t="s">
        <v>8</v>
      </c>
      <c r="G59" s="144" t="s">
        <v>63</v>
      </c>
      <c r="H59" s="145">
        <v>0</v>
      </c>
      <c r="I59" s="146"/>
      <c r="J59" s="147">
        <v>45778</v>
      </c>
      <c r="K59" s="147">
        <v>45808</v>
      </c>
      <c r="L59" s="148">
        <f>Hitos4352[[#This Row],[FECHA FINAL]]-Hitos4352[[#This Row],[FECHA INICIAL]]</f>
        <v>30</v>
      </c>
      <c r="M59" s="150">
        <f ca="1">Hitos4352[[#This Row],[FECHA FINAL]]-$E$9</f>
        <v>-62</v>
      </c>
      <c r="N59" s="148" t="s">
        <v>35</v>
      </c>
      <c r="O59" s="4"/>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row>
    <row r="60" spans="1:71" s="1" customFormat="1" ht="40.15" customHeight="1" x14ac:dyDescent="0.25">
      <c r="A60" s="172" t="s">
        <v>88</v>
      </c>
      <c r="B60" s="173">
        <v>51183760.140000001</v>
      </c>
      <c r="C60" s="142"/>
      <c r="D60" s="143">
        <f>Hitos4352[[#This Row],[MONTO INICIAL]]/1000</f>
        <v>51183.760139999999</v>
      </c>
      <c r="E60" s="143"/>
      <c r="F60" s="144" t="s">
        <v>8</v>
      </c>
      <c r="G60" s="144" t="s">
        <v>63</v>
      </c>
      <c r="H60" s="145">
        <v>0</v>
      </c>
      <c r="I60" s="146"/>
      <c r="J60" s="147">
        <v>45809</v>
      </c>
      <c r="K60" s="147">
        <v>45838</v>
      </c>
      <c r="L60" s="148">
        <f>Hitos4352[[#This Row],[FECHA FINAL]]-Hitos4352[[#This Row],[FECHA INICIAL]]</f>
        <v>29</v>
      </c>
      <c r="M60" s="150">
        <f ca="1">Hitos4352[[#This Row],[FECHA FINAL]]-$E$9</f>
        <v>-32</v>
      </c>
      <c r="N60" s="148" t="s">
        <v>35</v>
      </c>
      <c r="O60" s="4"/>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row>
    <row r="61" spans="1:71" s="1" customFormat="1" ht="40.15" customHeight="1" x14ac:dyDescent="0.25">
      <c r="A61" s="27" t="s">
        <v>89</v>
      </c>
      <c r="B61" s="157">
        <v>39534751.079999998</v>
      </c>
      <c r="C61" s="32"/>
      <c r="D61" s="33">
        <f>Hitos4352[[#This Row],[MONTO INICIAL]]/1000</f>
        <v>39534.751080000002</v>
      </c>
      <c r="E61" s="33"/>
      <c r="F61" s="28" t="s">
        <v>8</v>
      </c>
      <c r="G61" s="28" t="s">
        <v>63</v>
      </c>
      <c r="H61" s="34">
        <v>0</v>
      </c>
      <c r="I61" s="29"/>
      <c r="J61" s="122">
        <v>45839</v>
      </c>
      <c r="K61" s="122">
        <v>45869</v>
      </c>
      <c r="L61" s="92">
        <f>Hitos4352[[#This Row],[FECHA FINAL]]-Hitos4352[[#This Row],[FECHA INICIAL]]</f>
        <v>30</v>
      </c>
      <c r="M61" s="91">
        <f ca="1">Hitos4352[[#This Row],[FECHA FINAL]]-$E$9</f>
        <v>-1</v>
      </c>
      <c r="N61" s="92" t="s">
        <v>37</v>
      </c>
      <c r="O61" s="4"/>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row>
    <row r="62" spans="1:71" s="1" customFormat="1" ht="40.15" customHeight="1" x14ac:dyDescent="0.25">
      <c r="A62" s="93" t="s">
        <v>90</v>
      </c>
      <c r="B62" s="101">
        <f>SUM(B63:B63)</f>
        <v>76327.02</v>
      </c>
      <c r="C62" s="101">
        <f>SUM(C63:C63)</f>
        <v>0</v>
      </c>
      <c r="D62" s="102">
        <f>SUM(D63:D63)</f>
        <v>67.130184696569927</v>
      </c>
      <c r="E62" s="102"/>
      <c r="F62" s="93"/>
      <c r="G62" s="93"/>
      <c r="H62" s="93"/>
      <c r="I62" s="93"/>
      <c r="J62" s="93"/>
      <c r="K62" s="93"/>
      <c r="L62" s="93"/>
      <c r="M62" s="93"/>
      <c r="N62" s="93"/>
      <c r="O62" s="4"/>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row>
    <row r="63" spans="1:71" s="1" customFormat="1" ht="40.15" customHeight="1" x14ac:dyDescent="0.25">
      <c r="A63" s="27" t="s">
        <v>91</v>
      </c>
      <c r="B63" s="32">
        <v>76327.02</v>
      </c>
      <c r="C63" s="32"/>
      <c r="D63" s="33">
        <f>Hitos4352[[#This Row],[MONTO INICIAL]]/$E$8</f>
        <v>67.130184696569927</v>
      </c>
      <c r="E63" s="32"/>
      <c r="F63" s="28" t="s">
        <v>8</v>
      </c>
      <c r="G63" s="28" t="s">
        <v>63</v>
      </c>
      <c r="H63" s="34">
        <v>0</v>
      </c>
      <c r="I63" s="29"/>
      <c r="J63" s="30">
        <v>45665</v>
      </c>
      <c r="K63" s="30">
        <v>45695</v>
      </c>
      <c r="L63" s="31">
        <f>Hitos4352[[#This Row],[FECHA FINAL]]-Hitos4352[[#This Row],[FECHA INICIAL]]</f>
        <v>30</v>
      </c>
      <c r="M63" s="91">
        <f ca="1">Hitos4352[[#This Row],[FECHA FINAL]]-$E$9</f>
        <v>-175</v>
      </c>
      <c r="N63" s="92" t="s">
        <v>37</v>
      </c>
      <c r="O63" s="4"/>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row>
    <row r="64" spans="1:71" s="1" customFormat="1" ht="40.15" customHeight="1" x14ac:dyDescent="0.25">
      <c r="A64" s="27" t="s">
        <v>92</v>
      </c>
      <c r="B64" s="32">
        <f>497475.58+612297.37</f>
        <v>1109772.95</v>
      </c>
      <c r="C64" s="32"/>
      <c r="D64" s="33">
        <f>Hitos4352[[#This Row],[MONTO INICIAL]]/$E$8</f>
        <v>976.05360598065079</v>
      </c>
      <c r="E64" s="33"/>
      <c r="F64" s="28" t="s">
        <v>8</v>
      </c>
      <c r="G64" s="28" t="s">
        <v>63</v>
      </c>
      <c r="H64" s="34">
        <v>0</v>
      </c>
      <c r="I64" s="29"/>
      <c r="J64" s="30">
        <v>45737</v>
      </c>
      <c r="K64" s="30">
        <v>45768</v>
      </c>
      <c r="L64" s="31">
        <f>Hitos4352[[#This Row],[FECHA FINAL]]-Hitos4352[[#This Row],[FECHA INICIAL]]</f>
        <v>31</v>
      </c>
      <c r="M64" s="91">
        <f ca="1">Hitos4352[[#This Row],[FECHA FINAL]]-$E$9</f>
        <v>-102</v>
      </c>
      <c r="N64" s="92" t="s">
        <v>37</v>
      </c>
      <c r="O64" s="4"/>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row>
    <row r="65" spans="1:71" s="1" customFormat="1" ht="40.15" customHeight="1" x14ac:dyDescent="0.25">
      <c r="A65" s="93" t="s">
        <v>93</v>
      </c>
      <c r="B65" s="101">
        <f>SUBTOTAL(109,B66:B71)</f>
        <v>7721599.5499999998</v>
      </c>
      <c r="C65" s="101">
        <f>SUBTOTAL(109,C66:C70)</f>
        <v>0</v>
      </c>
      <c r="D65" s="102">
        <f>SUBTOTAL(109,D66:D71)</f>
        <v>13995.449999999999</v>
      </c>
      <c r="E65" s="102"/>
      <c r="F65" s="93"/>
      <c r="G65" s="93"/>
      <c r="H65" s="93"/>
      <c r="I65" s="93"/>
      <c r="J65" s="93"/>
      <c r="K65" s="93"/>
      <c r="L65" s="93"/>
      <c r="M65" s="93"/>
      <c r="N65" s="93"/>
      <c r="O65" s="4"/>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row>
    <row r="66" spans="1:71" s="1" customFormat="1" ht="40.15" customHeight="1" x14ac:dyDescent="0.25">
      <c r="A66" s="27" t="s">
        <v>94</v>
      </c>
      <c r="B66" s="32">
        <v>3218723.5</v>
      </c>
      <c r="C66" s="32"/>
      <c r="D66" s="33">
        <v>2798.89</v>
      </c>
      <c r="E66" s="32"/>
      <c r="F66" s="28" t="s">
        <v>8</v>
      </c>
      <c r="G66" s="28" t="s">
        <v>95</v>
      </c>
      <c r="H66" s="34">
        <v>0</v>
      </c>
      <c r="I66" s="29"/>
      <c r="J66" s="30">
        <v>45666</v>
      </c>
      <c r="K66" s="30">
        <v>45838</v>
      </c>
      <c r="L66" s="31">
        <f>Hitos4352[[#This Row],[FECHA FINAL]]-Hitos4352[[#This Row],[FECHA INICIAL]]</f>
        <v>172</v>
      </c>
      <c r="M66" s="100">
        <f ca="1">Hitos4352[[#This Row],[FECHA FINAL]]-$E$9</f>
        <v>-32</v>
      </c>
      <c r="N66" s="92" t="s">
        <v>37</v>
      </c>
      <c r="O66" s="4"/>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row>
    <row r="67" spans="1:71" s="1" customFormat="1" ht="40.15" customHeight="1" x14ac:dyDescent="0.25">
      <c r="A67" s="27" t="s">
        <v>96</v>
      </c>
      <c r="B67" s="32">
        <v>604024.97</v>
      </c>
      <c r="C67" s="32"/>
      <c r="D67" s="33">
        <v>2798.89</v>
      </c>
      <c r="E67" s="32"/>
      <c r="F67" s="28" t="s">
        <v>8</v>
      </c>
      <c r="G67" s="28" t="s">
        <v>97</v>
      </c>
      <c r="H67" s="34">
        <v>0</v>
      </c>
      <c r="I67" s="29"/>
      <c r="J67" s="30">
        <v>45726</v>
      </c>
      <c r="K67" s="30">
        <v>45756</v>
      </c>
      <c r="L67" s="31">
        <f>Hitos4352[[#This Row],[FECHA FINAL]]-Hitos4352[[#This Row],[FECHA INICIAL]]</f>
        <v>30</v>
      </c>
      <c r="M67" s="100">
        <f ca="1">Hitos4352[[#This Row],[FECHA FINAL]]-$E$9</f>
        <v>-114</v>
      </c>
      <c r="N67" s="92" t="s">
        <v>98</v>
      </c>
      <c r="O67" s="4"/>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row>
    <row r="68" spans="1:71" s="1" customFormat="1" ht="40.15" customHeight="1" x14ac:dyDescent="0.25">
      <c r="A68" s="27" t="s">
        <v>99</v>
      </c>
      <c r="B68" s="32">
        <v>739157.9</v>
      </c>
      <c r="C68" s="32"/>
      <c r="D68" s="33">
        <v>2798.89</v>
      </c>
      <c r="E68" s="32"/>
      <c r="F68" s="28"/>
      <c r="G68" s="28" t="s">
        <v>97</v>
      </c>
      <c r="H68" s="34">
        <v>0</v>
      </c>
      <c r="I68" s="29"/>
      <c r="J68" s="30">
        <v>45756</v>
      </c>
      <c r="K68" s="30">
        <v>45786</v>
      </c>
      <c r="L68" s="31">
        <f>Hitos4352[[#This Row],[FECHA FINAL]]-Hitos4352[[#This Row],[FECHA INICIAL]]</f>
        <v>30</v>
      </c>
      <c r="M68" s="100">
        <f ca="1">Hitos4352[[#This Row],[FECHA FINAL]]-$E$9</f>
        <v>-84</v>
      </c>
      <c r="N68" s="92" t="s">
        <v>98</v>
      </c>
      <c r="O68" s="4"/>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c r="AP68" s="155"/>
      <c r="AQ68" s="155"/>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row>
    <row r="69" spans="1:71" s="1" customFormat="1" ht="40.15" customHeight="1" x14ac:dyDescent="0.25">
      <c r="A69" s="27" t="s">
        <v>100</v>
      </c>
      <c r="B69" s="32">
        <v>777813.18</v>
      </c>
      <c r="C69" s="32"/>
      <c r="D69" s="33">
        <v>2798.89</v>
      </c>
      <c r="E69" s="32"/>
      <c r="F69" s="28"/>
      <c r="G69" s="28" t="s">
        <v>97</v>
      </c>
      <c r="H69" s="34">
        <v>0</v>
      </c>
      <c r="I69" s="29"/>
      <c r="J69" s="30">
        <v>45785</v>
      </c>
      <c r="K69" s="30">
        <v>45815</v>
      </c>
      <c r="L69" s="31">
        <f>Hitos4352[[#This Row],[FECHA FINAL]]-Hitos4352[[#This Row],[FECHA INICIAL]]</f>
        <v>30</v>
      </c>
      <c r="M69" s="100">
        <f ca="1">Hitos4352[[#This Row],[FECHA FINAL]]-$E$9</f>
        <v>-55</v>
      </c>
      <c r="N69" s="92" t="s">
        <v>37</v>
      </c>
      <c r="O69" s="4"/>
      <c r="P69" s="155"/>
      <c r="Q69" s="155"/>
      <c r="R69" s="155"/>
      <c r="S69" s="155"/>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c r="AP69" s="155"/>
      <c r="AQ69" s="155"/>
      <c r="AR69" s="155"/>
      <c r="AS69" s="155"/>
      <c r="AT69" s="155"/>
      <c r="AU69" s="155"/>
      <c r="AV69" s="155"/>
      <c r="AW69" s="155"/>
      <c r="AX69" s="155"/>
      <c r="AY69" s="155"/>
      <c r="AZ69" s="155"/>
      <c r="BA69" s="155"/>
      <c r="BB69" s="155"/>
      <c r="BC69" s="12"/>
      <c r="BD69" s="12"/>
      <c r="BE69" s="12"/>
      <c r="BF69" s="12"/>
      <c r="BG69" s="12"/>
      <c r="BH69" s="12"/>
      <c r="BI69" s="12"/>
      <c r="BJ69" s="12"/>
      <c r="BK69" s="12"/>
      <c r="BL69" s="12"/>
      <c r="BM69" s="12"/>
      <c r="BN69" s="12"/>
      <c r="BO69" s="12"/>
      <c r="BP69" s="12"/>
      <c r="BQ69" s="12"/>
      <c r="BR69" s="12"/>
      <c r="BS69" s="12"/>
    </row>
    <row r="70" spans="1:71" s="1" customFormat="1" ht="40.15" customHeight="1" x14ac:dyDescent="0.25">
      <c r="A70" s="27" t="s">
        <v>101</v>
      </c>
      <c r="B70" s="32">
        <v>2381880</v>
      </c>
      <c r="C70" s="32"/>
      <c r="D70" s="33">
        <v>2799.89</v>
      </c>
      <c r="E70" s="32"/>
      <c r="F70" s="28" t="s">
        <v>8</v>
      </c>
      <c r="G70" s="28" t="s">
        <v>102</v>
      </c>
      <c r="H70" s="34">
        <v>0</v>
      </c>
      <c r="I70" s="29"/>
      <c r="J70" s="30">
        <v>45567</v>
      </c>
      <c r="K70" s="30">
        <v>45663</v>
      </c>
      <c r="L70" s="31">
        <f>Hitos4352[[#This Row],[FECHA FINAL]]-Hitos4352[[#This Row],[FECHA INICIAL]]</f>
        <v>96</v>
      </c>
      <c r="M70" s="100">
        <f ca="1">Hitos4352[[#This Row],[FECHA FINAL]]-$E$9</f>
        <v>-207</v>
      </c>
      <c r="N70" s="92" t="s">
        <v>98</v>
      </c>
      <c r="O70" s="4"/>
      <c r="P70" s="155"/>
      <c r="Q70" s="155"/>
      <c r="R70" s="155"/>
      <c r="S70" s="155"/>
      <c r="T70" s="155"/>
      <c r="U70" s="155"/>
      <c r="V70" s="155"/>
      <c r="W70" s="155"/>
      <c r="X70" s="155"/>
      <c r="Y70" s="155"/>
      <c r="Z70" s="155"/>
      <c r="AA70" s="155"/>
      <c r="AB70" s="155"/>
      <c r="AC70" s="155"/>
      <c r="AD70" s="155"/>
      <c r="AE70" s="155"/>
      <c r="AF70" s="155"/>
      <c r="AG70" s="155"/>
      <c r="AH70" s="155"/>
      <c r="AI70" s="155"/>
      <c r="AJ70" s="155"/>
      <c r="AK70" s="155"/>
      <c r="AL70" s="155"/>
      <c r="AM70" s="155"/>
      <c r="AN70" s="155"/>
      <c r="AO70" s="155"/>
      <c r="AP70" s="155"/>
      <c r="AQ70" s="155"/>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row>
    <row r="71" spans="1:71" s="1" customFormat="1" ht="40.15" customHeight="1" x14ac:dyDescent="0.25">
      <c r="A71" s="103"/>
      <c r="B71" s="32"/>
      <c r="C71" s="32"/>
      <c r="D71" s="33"/>
      <c r="E71" s="32"/>
      <c r="F71" s="28"/>
      <c r="G71" s="28"/>
      <c r="H71" s="29"/>
      <c r="I71" s="29"/>
      <c r="J71" s="30"/>
      <c r="K71" s="30"/>
      <c r="L71" s="31"/>
      <c r="M71" s="31"/>
      <c r="N71" s="31"/>
      <c r="O71" s="4"/>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row>
    <row r="72" spans="1:71" s="1" customFormat="1" ht="57.75" customHeight="1" x14ac:dyDescent="0.25">
      <c r="A72" s="93" t="s">
        <v>103</v>
      </c>
      <c r="B72" s="101"/>
      <c r="C72" s="101"/>
      <c r="D72" s="102"/>
      <c r="E72" s="102"/>
      <c r="F72" s="93"/>
      <c r="G72" s="93"/>
      <c r="H72" s="93"/>
      <c r="I72" s="93"/>
      <c r="J72" s="93"/>
      <c r="K72" s="93"/>
      <c r="L72" s="93"/>
      <c r="M72" s="93"/>
      <c r="N72" s="93"/>
      <c r="O72" s="4"/>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row>
    <row r="73" spans="1:71" ht="30" customHeight="1" x14ac:dyDescent="0.25">
      <c r="A73" s="104"/>
      <c r="B73" s="105"/>
      <c r="C73" s="32"/>
      <c r="D73" s="32"/>
      <c r="E73" s="33"/>
      <c r="F73" s="106"/>
      <c r="G73" s="107"/>
      <c r="I73" s="41"/>
      <c r="J73" s="108"/>
      <c r="K73" s="109"/>
      <c r="L73" s="110"/>
      <c r="M73" s="110"/>
      <c r="N73" s="110"/>
      <c r="O73" s="2"/>
    </row>
    <row r="74" spans="1:71" ht="30" customHeight="1" x14ac:dyDescent="0.25">
      <c r="A74" s="104"/>
      <c r="B74" s="105"/>
      <c r="C74" s="32"/>
      <c r="D74" s="32"/>
      <c r="E74" s="33"/>
      <c r="F74" s="106"/>
      <c r="G74" s="111"/>
      <c r="I74" s="41"/>
      <c r="J74" s="108"/>
      <c r="K74" s="109"/>
    </row>
    <row r="75" spans="1:71" ht="30" customHeight="1" x14ac:dyDescent="0.25">
      <c r="A75" s="104"/>
      <c r="B75" s="105"/>
      <c r="C75" s="32"/>
      <c r="D75" s="32"/>
      <c r="E75" s="33"/>
      <c r="F75" s="106"/>
      <c r="G75" s="106"/>
      <c r="I75" s="41"/>
      <c r="J75" s="108"/>
      <c r="K75" s="109"/>
    </row>
    <row r="76" spans="1:71" ht="30" customHeight="1" x14ac:dyDescent="0.25">
      <c r="A76" s="104"/>
      <c r="B76" s="105"/>
      <c r="C76" s="32"/>
      <c r="D76" s="32"/>
      <c r="E76" s="33"/>
      <c r="F76" s="106"/>
      <c r="G76" s="106"/>
      <c r="I76" s="41"/>
      <c r="J76" s="108"/>
      <c r="K76" s="109"/>
    </row>
    <row r="77" spans="1:71" ht="30" customHeight="1" x14ac:dyDescent="0.25">
      <c r="A77" s="104"/>
      <c r="B77" s="105"/>
      <c r="C77" s="32"/>
      <c r="D77" s="32"/>
      <c r="E77" s="33"/>
      <c r="F77" s="106"/>
      <c r="G77" s="106"/>
      <c r="I77" s="41"/>
      <c r="J77" s="108"/>
      <c r="K77" s="109"/>
    </row>
    <row r="78" spans="1:71" ht="30" customHeight="1" x14ac:dyDescent="0.25">
      <c r="A78" s="104"/>
      <c r="B78" s="105"/>
      <c r="C78" s="32"/>
      <c r="D78" s="32"/>
      <c r="E78" s="33"/>
      <c r="F78" s="106"/>
      <c r="G78" s="106"/>
      <c r="I78" s="41"/>
      <c r="J78" s="108"/>
      <c r="K78" s="109"/>
    </row>
    <row r="84" spans="5:5" ht="30" customHeight="1" x14ac:dyDescent="0.25">
      <c r="E84" s="129"/>
    </row>
  </sheetData>
  <mergeCells count="8">
    <mergeCell ref="AE4:AH4"/>
    <mergeCell ref="AJ4:AM4"/>
    <mergeCell ref="A2:O2"/>
    <mergeCell ref="P2:U2"/>
    <mergeCell ref="V2:AA2"/>
    <mergeCell ref="P4:S4"/>
    <mergeCell ref="U4:X4"/>
    <mergeCell ref="Z4:AC4"/>
  </mergeCells>
  <conditionalFormatting sqref="H66:I71 H63:I64 H11:I61">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P6:AT6">
    <cfRule type="expression" dxfId="8" priority="4">
      <formula>P$7&lt;=EOMONTH($P$7,0)</formula>
    </cfRule>
  </conditionalFormatting>
  <conditionalFormatting sqref="P6:BS6">
    <cfRule type="expression" dxfId="7" priority="2">
      <formula>AND(P$7&lt;=EOMONTH($P$7,1),P$7&gt;EOMONTH($P$7,0))</formula>
    </cfRule>
  </conditionalFormatting>
  <conditionalFormatting sqref="P7:BS72">
    <cfRule type="expression" dxfId="6" priority="1">
      <formula>AND(TODAY()&gt;=P$7,TODAY()&lt;Q$7)</formula>
    </cfRule>
  </conditionalFormatting>
  <conditionalFormatting sqref="P12:BS71">
    <cfRule type="expression" dxfId="5" priority="348" stopIfTrue="1">
      <formula>AND($F12="Riesgo bajo",P$7&gt;=$J12,P$7&lt;=$J12+$L12-1)</formula>
    </cfRule>
    <cfRule type="expression" dxfId="4" priority="349" stopIfTrue="1">
      <formula>AND($F12="Riesgo alto",P$7&gt;=$J12,P$7&lt;=$J12+$L12-1)</formula>
    </cfRule>
    <cfRule type="expression" dxfId="3" priority="350" stopIfTrue="1">
      <formula>AND($F12="Según lo previsto",P$7&gt;=$J12,P$7&lt;=$J12+$L12-1)</formula>
    </cfRule>
    <cfRule type="expression" dxfId="2" priority="351" stopIfTrue="1">
      <formula>AND($F12="Riesgo medio",P$7&gt;=$J12,P$7&lt;=$J12+$L12-1)</formula>
    </cfRule>
    <cfRule type="expression" dxfId="1" priority="352" stopIfTrue="1">
      <formula>AND(LEN($F12)=0,P$7&gt;=$J12,P$7&lt;=$J12+$L12-1)</formula>
    </cfRule>
  </conditionalFormatting>
  <conditionalFormatting sqref="Q6:BS6">
    <cfRule type="expression" dxfId="0" priority="3">
      <formula>AND(Q$7&lt;=EOMONTH($P$7,2),Q$7&gt;EOMONTH($P$7,0),Q$7&gt;EOMONTH($P$7,1))</formula>
    </cfRule>
  </conditionalFormatting>
  <dataValidations disablePrompts="1" count="2">
    <dataValidation type="whole" operator="greaterThanOrEqual" allowBlank="1" showInputMessage="1" promptTitle="Incremento de desplazamiento" prompt="Al cambiar este número, se desplazará la vista del diagrama de Gantt." sqref="E7" xr:uid="{662A47A0-7258-440E-8D71-BC54CBC9C651}">
      <formula1>0</formula1>
    </dataValidation>
    <dataValidation type="list" allowBlank="1" showInputMessage="1" showErrorMessage="1" sqref="F12:F72" xr:uid="{12A8278F-D51D-4B98-A311-DB5FCD18D214}">
      <formula1>"Objetivo,Hito,Según lo previsto, Riesgo bajo, Riesgo medio, Riesgo alto"</formula1>
    </dataValidation>
  </dataValidations>
  <hyperlinks>
    <hyperlink ref="A16" r:id="rId1" xr:uid="{32BA6ECB-9C5C-4A6A-A3FB-1BFE42202F1F}"/>
    <hyperlink ref="A26" r:id="rId2" xr:uid="{0D646C3C-F8C6-4810-AABB-8942BF5B5B01}"/>
    <hyperlink ref="A27" r:id="rId3" xr:uid="{AD627743-D7BD-40F7-9075-783297C2C931}"/>
    <hyperlink ref="A20" r:id="rId4" xr:uid="{5594CEDD-0A36-42A4-8D00-254BB4F30344}"/>
    <hyperlink ref="A21" r:id="rId5" xr:uid="{0C4ED824-5BDA-44EA-94D8-E0A66D09525F}"/>
    <hyperlink ref="A22:A25" r:id="rId6" display="CREDITO PAMPA cuota 3" xr:uid="{984B41BC-7183-48BF-A577-3A17F5E5EB7E}"/>
  </hyperlinks>
  <pageMargins left="0.25" right="0.25" top="0.75" bottom="0.75" header="0.3" footer="0.3"/>
  <pageSetup paperSize="5" fitToHeight="0" orientation="landscape" r:id="rId7"/>
  <drawing r:id="rId8"/>
  <legacyDrawing r:id="rId9"/>
  <mc:AlternateContent xmlns:mc="http://schemas.openxmlformats.org/markup-compatibility/2006">
    <mc:Choice Requires="x14">
      <controls>
        <mc:AlternateContent xmlns:mc="http://schemas.openxmlformats.org/markup-compatibility/2006">
          <mc:Choice Requires="x14">
            <control shapeId="16385" r:id="rId10" name="Barra de desplazamiento 1">
              <controlPr defaultSize="0" autoPict="0" altText="Barra de desplazamiento para desplazarse por la escala de tiempo del proyecto Ghantt.">
                <anchor moveWithCells="1">
                  <from>
                    <xdr:col>15</xdr:col>
                    <xdr:colOff>28575</xdr:colOff>
                    <xdr:row>7</xdr:row>
                    <xdr:rowOff>57150</xdr:rowOff>
                  </from>
                  <to>
                    <xdr:col>97</xdr:col>
                    <xdr:colOff>38100</xdr:colOff>
                    <xdr:row>8</xdr:row>
                    <xdr:rowOff>0</xdr:rowOff>
                  </to>
                </anchor>
              </controlPr>
            </control>
          </mc:Choice>
        </mc:AlternateContent>
      </controls>
    </mc:Choice>
  </mc:AlternateContent>
  <tableParts count="1">
    <tablePart r:id="rId11"/>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H66:I71 H63:I64 H11:I61</xm:sqref>
        </x14:conditionalFormatting>
        <x14:conditionalFormatting xmlns:xm="http://schemas.microsoft.com/office/excel/2006/main">
          <x14:cfRule type="iconSet" priority="35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P12:BS71</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P72:BS72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A8F81-098D-4A7B-916E-8A4CB2628EFF}">
  <dimension ref="A1"/>
  <sheetViews>
    <sheetView topLeftCell="A43" workbookViewId="0">
      <selection activeCell="J76" sqref="J76"/>
    </sheetView>
  </sheetViews>
  <sheetFormatPr baseColWidth="10" defaultColWidth="11.42578125" defaultRowHeight="15" x14ac:dyDescent="0.25"/>
  <sheetData/>
  <pageMargins left="0.25" right="0.25"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ALARMAS</vt:lpstr>
      <vt:lpstr>Ligero</vt:lpstr>
      <vt:lpstr>GRAFICO</vt:lpstr>
      <vt:lpstr>Ligero!Incremento_de_desplazamiento</vt:lpstr>
      <vt:lpstr>Ligero!Inicio_del_proyecto</vt:lpstr>
      <vt:lpstr>Ligero!Títulos_a_imprimir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2025-08-01T15:21:54Z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