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515-52\OneDrive - Chulalongkorn University\Desktop\Thesis\Dataset\Main_Model\"/>
    </mc:Choice>
  </mc:AlternateContent>
  <xr:revisionPtr revIDLastSave="0" documentId="13_ncr:1_{7F897906-376F-4761-B212-9274F14F6E7F}" xr6:coauthVersionLast="47" xr6:coauthVersionMax="47" xr10:uidLastSave="{00000000-0000-0000-0000-000000000000}"/>
  <bookViews>
    <workbookView xWindow="28680" yWindow="-120" windowWidth="29040" windowHeight="15840" activeTab="2" xr2:uid="{D94ABBAD-02A8-4DF5-B30B-61098319A2D5}"/>
  </bookViews>
  <sheets>
    <sheet name="LinerLib_fleet" sheetId="1" r:id="rId1"/>
    <sheet name="Wang_fleet" sheetId="2" r:id="rId2"/>
    <sheet name="LinerLib_Port" sheetId="3" r:id="rId3"/>
  </sheets>
  <definedNames>
    <definedName name="_xlnm._FilterDatabase" localSheetId="2" hidden="1">LinerLib_Port!$A$56:$B$123</definedName>
    <definedName name="int_c">LinerLib_Port!$O$57:$O$73</definedName>
    <definedName name="Sel_port">LinerLib_Port!$A$57:$A$123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2" l="1"/>
  <c r="J25" i="2"/>
  <c r="J26" i="2"/>
  <c r="J23" i="2"/>
  <c r="H23" i="2"/>
  <c r="F23" i="2"/>
  <c r="G23" i="2"/>
  <c r="G24" i="2"/>
  <c r="G25" i="2"/>
  <c r="G26" i="2"/>
  <c r="F24" i="2"/>
  <c r="F25" i="2"/>
  <c r="F26" i="2"/>
  <c r="H24" i="2"/>
  <c r="I24" i="2"/>
  <c r="H25" i="2"/>
  <c r="I25" i="2"/>
  <c r="H26" i="2"/>
  <c r="I26" i="2"/>
  <c r="I23" i="2"/>
  <c r="D24" i="2" l="1"/>
  <c r="D25" i="2"/>
  <c r="D26" i="2"/>
  <c r="D23" i="2"/>
  <c r="D12" i="1"/>
  <c r="D11" i="1"/>
  <c r="C12" i="1"/>
  <c r="C39" i="3"/>
  <c r="C16" i="3"/>
  <c r="C31" i="3"/>
  <c r="C3" i="3"/>
  <c r="C15" i="3"/>
  <c r="C13" i="3"/>
  <c r="C10" i="3"/>
  <c r="C29" i="3"/>
  <c r="C47" i="3"/>
  <c r="C8" i="3"/>
  <c r="C7" i="3"/>
  <c r="C42" i="3"/>
  <c r="C34" i="3"/>
  <c r="C38" i="3"/>
  <c r="C41" i="3"/>
  <c r="C25" i="3"/>
  <c r="C28" i="3"/>
  <c r="C5" i="3"/>
  <c r="C23" i="3"/>
  <c r="C9" i="3"/>
  <c r="C4" i="3"/>
  <c r="C12" i="3"/>
  <c r="C14" i="3"/>
  <c r="C33" i="3"/>
  <c r="C37" i="3"/>
  <c r="C51" i="3"/>
  <c r="C11" i="3"/>
  <c r="C20" i="3"/>
  <c r="C30" i="3"/>
  <c r="C50" i="3"/>
  <c r="C46" i="3"/>
  <c r="C24" i="3"/>
  <c r="C19" i="3"/>
  <c r="C44" i="3"/>
  <c r="C40" i="3"/>
  <c r="C18" i="3"/>
  <c r="C6" i="3"/>
  <c r="C2" i="3"/>
  <c r="C45" i="3"/>
  <c r="C48" i="3"/>
  <c r="C52" i="3"/>
  <c r="C35" i="3"/>
  <c r="C49" i="3"/>
  <c r="C53" i="3"/>
  <c r="C22" i="3"/>
  <c r="C17" i="3"/>
  <c r="C54" i="3"/>
  <c r="C36" i="3"/>
  <c r="C43" i="3"/>
  <c r="C27" i="3"/>
  <c r="C32" i="3"/>
  <c r="D4" i="1"/>
  <c r="D5" i="1"/>
  <c r="D6" i="1"/>
  <c r="D7" i="1"/>
  <c r="D8" i="1"/>
  <c r="D3" i="1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I4" i="2"/>
  <c r="H4" i="2"/>
  <c r="P32" i="3"/>
  <c r="P39" i="3"/>
  <c r="P16" i="3"/>
  <c r="P31" i="3"/>
  <c r="P3" i="3"/>
  <c r="P15" i="3"/>
  <c r="P13" i="3"/>
  <c r="P10" i="3"/>
  <c r="P29" i="3"/>
  <c r="P47" i="3"/>
  <c r="P8" i="3"/>
  <c r="P7" i="3"/>
  <c r="P42" i="3"/>
  <c r="P34" i="3"/>
  <c r="P38" i="3"/>
  <c r="P41" i="3"/>
  <c r="P25" i="3"/>
  <c r="P28" i="3"/>
  <c r="P5" i="3"/>
  <c r="P23" i="3"/>
  <c r="P9" i="3"/>
  <c r="P4" i="3"/>
  <c r="P12" i="3"/>
  <c r="P14" i="3"/>
  <c r="P33" i="3"/>
  <c r="P37" i="3"/>
  <c r="P51" i="3"/>
  <c r="P11" i="3"/>
  <c r="P20" i="3"/>
  <c r="P30" i="3"/>
  <c r="P50" i="3"/>
  <c r="P46" i="3"/>
  <c r="P24" i="3"/>
  <c r="P19" i="3"/>
  <c r="P44" i="3"/>
  <c r="P40" i="3"/>
  <c r="P18" i="3"/>
  <c r="P6" i="3"/>
  <c r="P2" i="3"/>
  <c r="P45" i="3"/>
  <c r="P48" i="3"/>
  <c r="P52" i="3"/>
  <c r="P35" i="3"/>
  <c r="P49" i="3"/>
  <c r="P53" i="3"/>
  <c r="P26" i="3"/>
  <c r="P22" i="3"/>
  <c r="P17" i="3"/>
  <c r="P54" i="3"/>
  <c r="P36" i="3"/>
  <c r="P43" i="3"/>
  <c r="P21" i="3"/>
  <c r="P27" i="3"/>
  <c r="Q32" i="3"/>
  <c r="Q39" i="3"/>
  <c r="Q16" i="3"/>
  <c r="Q31" i="3"/>
  <c r="Q3" i="3"/>
  <c r="Q15" i="3"/>
  <c r="Q13" i="3"/>
  <c r="Q10" i="3"/>
  <c r="Q29" i="3"/>
  <c r="Q47" i="3"/>
  <c r="Q8" i="3"/>
  <c r="Q7" i="3"/>
  <c r="Q42" i="3"/>
  <c r="Q34" i="3"/>
  <c r="Q38" i="3"/>
  <c r="Q41" i="3"/>
  <c r="Q25" i="3"/>
  <c r="Q28" i="3"/>
  <c r="Q5" i="3"/>
  <c r="Q23" i="3"/>
  <c r="Q9" i="3"/>
  <c r="Q4" i="3"/>
  <c r="Q12" i="3"/>
  <c r="Q14" i="3"/>
  <c r="Q33" i="3"/>
  <c r="Q37" i="3"/>
  <c r="Q51" i="3"/>
  <c r="Q11" i="3"/>
  <c r="Q20" i="3"/>
  <c r="Q30" i="3"/>
  <c r="Q50" i="3"/>
  <c r="Q46" i="3"/>
  <c r="Q24" i="3"/>
  <c r="Q19" i="3"/>
  <c r="Q44" i="3"/>
  <c r="Q40" i="3"/>
  <c r="Q18" i="3"/>
  <c r="Q6" i="3"/>
  <c r="Q2" i="3"/>
  <c r="Q45" i="3"/>
  <c r="Q48" i="3"/>
  <c r="Q52" i="3"/>
  <c r="Q35" i="3"/>
  <c r="Q49" i="3"/>
  <c r="Q53" i="3"/>
  <c r="Q26" i="3"/>
  <c r="Q22" i="3"/>
  <c r="Q17" i="3"/>
  <c r="Q54" i="3"/>
  <c r="Q36" i="3"/>
  <c r="Q43" i="3"/>
  <c r="Q21" i="3"/>
  <c r="Q27" i="3"/>
  <c r="J12" i="1"/>
  <c r="J11" i="1"/>
  <c r="I11" i="1"/>
  <c r="I12" i="1"/>
  <c r="C11" i="1"/>
  <c r="B58" i="3" l="1"/>
  <c r="C58" i="3" s="1"/>
  <c r="K58" i="3" s="1"/>
  <c r="D58" i="3"/>
  <c r="E58" i="3"/>
  <c r="B75" i="3"/>
  <c r="C75" i="3" s="1"/>
  <c r="B74" i="3"/>
  <c r="C74" i="3" s="1"/>
  <c r="B73" i="3"/>
  <c r="C73" i="3" s="1"/>
  <c r="B67" i="3"/>
  <c r="C67" i="3" s="1"/>
  <c r="B57" i="3"/>
  <c r="C57" i="3" s="1"/>
  <c r="B63" i="3"/>
  <c r="C63" i="3" s="1"/>
  <c r="B69" i="3"/>
  <c r="C69" i="3" s="1"/>
  <c r="B72" i="3"/>
  <c r="C72" i="3" s="1"/>
  <c r="B68" i="3"/>
  <c r="C68" i="3" s="1"/>
  <c r="B66" i="3"/>
  <c r="C66" i="3" s="1"/>
  <c r="B59" i="3"/>
  <c r="C59" i="3" s="1"/>
  <c r="B77" i="3"/>
  <c r="C77" i="3" s="1"/>
  <c r="B62" i="3"/>
  <c r="C62" i="3" s="1"/>
  <c r="B61" i="3"/>
  <c r="C61" i="3" s="1"/>
  <c r="B71" i="3"/>
  <c r="C71" i="3" s="1"/>
  <c r="B60" i="3"/>
  <c r="C60" i="3" s="1"/>
  <c r="B64" i="3"/>
  <c r="C64" i="3" s="1"/>
  <c r="R26" i="3"/>
  <c r="R6" i="3"/>
  <c r="R7" i="3"/>
  <c r="R31" i="3"/>
  <c r="R22" i="3"/>
  <c r="R43" i="3"/>
  <c r="R49" i="3"/>
  <c r="R40" i="3"/>
  <c r="R23" i="3"/>
  <c r="R27" i="3"/>
  <c r="R30" i="3"/>
  <c r="R34" i="3"/>
  <c r="R15" i="3"/>
  <c r="R2" i="3"/>
  <c r="R50" i="3"/>
  <c r="R12" i="3"/>
  <c r="R38" i="3"/>
  <c r="R13" i="3"/>
  <c r="R36" i="3"/>
  <c r="R35" i="3"/>
  <c r="R44" i="3"/>
  <c r="R51" i="3"/>
  <c r="R5" i="3"/>
  <c r="R16" i="3"/>
  <c r="R52" i="3"/>
  <c r="R37" i="3"/>
  <c r="R47" i="3"/>
  <c r="R19" i="3"/>
  <c r="R28" i="3"/>
  <c r="R39" i="3"/>
  <c r="R48" i="3"/>
  <c r="R24" i="3"/>
  <c r="R33" i="3"/>
  <c r="R25" i="3"/>
  <c r="R29" i="3"/>
  <c r="R32" i="3"/>
  <c r="R17" i="3"/>
  <c r="R45" i="3"/>
  <c r="R46" i="3"/>
  <c r="R14" i="3"/>
  <c r="R41" i="3"/>
  <c r="R10" i="3"/>
  <c r="R11" i="3"/>
  <c r="R18" i="3"/>
  <c r="R20" i="3"/>
  <c r="R9" i="3"/>
  <c r="R42" i="3"/>
  <c r="R3" i="3"/>
  <c r="R21" i="3"/>
  <c r="R54" i="3"/>
  <c r="R53" i="3"/>
  <c r="R4" i="3"/>
  <c r="R8" i="3"/>
  <c r="I58" i="3" l="1"/>
  <c r="H58" i="3"/>
  <c r="G58" i="3"/>
  <c r="J58" i="3"/>
  <c r="K59" i="3"/>
  <c r="J59" i="3"/>
  <c r="K73" i="3"/>
  <c r="J73" i="3"/>
  <c r="K66" i="3"/>
  <c r="J66" i="3"/>
  <c r="K74" i="3"/>
  <c r="J74" i="3"/>
  <c r="J64" i="3"/>
  <c r="K64" i="3"/>
  <c r="K68" i="3"/>
  <c r="J68" i="3"/>
  <c r="K75" i="3"/>
  <c r="J75" i="3"/>
  <c r="J60" i="3"/>
  <c r="K60" i="3"/>
  <c r="J72" i="3"/>
  <c r="K72" i="3"/>
  <c r="J77" i="3"/>
  <c r="K77" i="3"/>
  <c r="J71" i="3"/>
  <c r="K71" i="3"/>
  <c r="J69" i="3"/>
  <c r="K69" i="3"/>
  <c r="F58" i="3"/>
  <c r="K67" i="3"/>
  <c r="J67" i="3"/>
  <c r="J61" i="3"/>
  <c r="K61" i="3"/>
  <c r="J63" i="3"/>
  <c r="K63" i="3"/>
  <c r="J62" i="3"/>
  <c r="K62" i="3"/>
  <c r="K57" i="3"/>
  <c r="J57" i="3"/>
  <c r="D63" i="3"/>
  <c r="E63" i="3"/>
  <c r="D62" i="3"/>
  <c r="E62" i="3"/>
  <c r="E57" i="3"/>
  <c r="D57" i="3"/>
  <c r="E67" i="3"/>
  <c r="D67" i="3"/>
  <c r="D77" i="3"/>
  <c r="E77" i="3"/>
  <c r="E59" i="3"/>
  <c r="D59" i="3"/>
  <c r="E73" i="3"/>
  <c r="D73" i="3"/>
  <c r="D61" i="3"/>
  <c r="E61" i="3"/>
  <c r="E66" i="3"/>
  <c r="D66" i="3"/>
  <c r="D74" i="3"/>
  <c r="E74" i="3"/>
  <c r="E75" i="3"/>
  <c r="D75" i="3"/>
  <c r="D64" i="3"/>
  <c r="E64" i="3"/>
  <c r="E68" i="3"/>
  <c r="D68" i="3"/>
  <c r="E60" i="3"/>
  <c r="D60" i="3"/>
  <c r="D72" i="3"/>
  <c r="E72" i="3"/>
  <c r="D71" i="3"/>
  <c r="E71" i="3"/>
  <c r="D69" i="3"/>
  <c r="E69" i="3"/>
  <c r="C21" i="3"/>
  <c r="G69" i="3" l="1"/>
  <c r="I69" i="3"/>
  <c r="H69" i="3"/>
  <c r="G67" i="3"/>
  <c r="I67" i="3"/>
  <c r="H67" i="3"/>
  <c r="H71" i="3"/>
  <c r="G71" i="3"/>
  <c r="I71" i="3"/>
  <c r="H64" i="3"/>
  <c r="G64" i="3"/>
  <c r="I64" i="3"/>
  <c r="G61" i="3"/>
  <c r="I61" i="3"/>
  <c r="H61" i="3"/>
  <c r="H63" i="3"/>
  <c r="G63" i="3"/>
  <c r="I63" i="3"/>
  <c r="I73" i="3"/>
  <c r="H73" i="3"/>
  <c r="G73" i="3"/>
  <c r="I77" i="3"/>
  <c r="H77" i="3"/>
  <c r="G77" i="3"/>
  <c r="H72" i="3"/>
  <c r="G72" i="3"/>
  <c r="I72" i="3"/>
  <c r="I75" i="3"/>
  <c r="H75" i="3"/>
  <c r="G75" i="3"/>
  <c r="I57" i="3"/>
  <c r="H57" i="3"/>
  <c r="G57" i="3"/>
  <c r="G60" i="3"/>
  <c r="I60" i="3"/>
  <c r="H60" i="3"/>
  <c r="I59" i="3"/>
  <c r="H59" i="3"/>
  <c r="G59" i="3"/>
  <c r="I74" i="3"/>
  <c r="H74" i="3"/>
  <c r="G74" i="3"/>
  <c r="G62" i="3"/>
  <c r="I62" i="3"/>
  <c r="H62" i="3"/>
  <c r="G68" i="3"/>
  <c r="I68" i="3"/>
  <c r="H68" i="3"/>
  <c r="I66" i="3"/>
  <c r="H66" i="3"/>
  <c r="G66" i="3"/>
  <c r="F77" i="3"/>
  <c r="F63" i="3"/>
  <c r="F66" i="3"/>
  <c r="F69" i="3"/>
  <c r="F67" i="3"/>
  <c r="F64" i="3"/>
  <c r="F61" i="3"/>
  <c r="F68" i="3"/>
  <c r="F71" i="3"/>
  <c r="F73" i="3"/>
  <c r="F57" i="3"/>
  <c r="F72" i="3"/>
  <c r="F60" i="3"/>
  <c r="F59" i="3"/>
  <c r="F75" i="3"/>
  <c r="F74" i="3"/>
  <c r="F62" i="3"/>
  <c r="B109" i="3"/>
  <c r="C109" i="3" s="1"/>
  <c r="B118" i="3"/>
  <c r="C118" i="3" s="1"/>
  <c r="B117" i="3"/>
  <c r="C117" i="3" s="1"/>
  <c r="B100" i="3"/>
  <c r="C100" i="3" s="1"/>
  <c r="B88" i="3"/>
  <c r="C88" i="3" s="1"/>
  <c r="B82" i="3"/>
  <c r="C82" i="3" s="1"/>
  <c r="B106" i="3"/>
  <c r="C106" i="3" s="1"/>
  <c r="B92" i="3"/>
  <c r="C92" i="3" s="1"/>
  <c r="B123" i="3"/>
  <c r="C123" i="3" s="1"/>
  <c r="B122" i="3"/>
  <c r="C122" i="3" s="1"/>
  <c r="B105" i="3"/>
  <c r="C105" i="3" s="1"/>
  <c r="B91" i="3"/>
  <c r="C91" i="3" s="1"/>
  <c r="B80" i="3"/>
  <c r="C80" i="3" s="1"/>
  <c r="B112" i="3"/>
  <c r="C112" i="3" s="1"/>
  <c r="B90" i="3"/>
  <c r="C90" i="3" s="1"/>
  <c r="B110" i="3"/>
  <c r="C110" i="3" s="1"/>
  <c r="B94" i="3"/>
  <c r="C94" i="3" s="1"/>
  <c r="B83" i="3"/>
  <c r="C83" i="3" s="1"/>
  <c r="B97" i="3"/>
  <c r="C97" i="3" s="1"/>
  <c r="B96" i="3"/>
  <c r="C96" i="3" s="1"/>
  <c r="B81" i="3"/>
  <c r="C81" i="3" s="1"/>
  <c r="B113" i="3"/>
  <c r="C113" i="3" s="1"/>
  <c r="B86" i="3"/>
  <c r="C86" i="3" s="1"/>
  <c r="B119" i="3"/>
  <c r="C119" i="3" s="1"/>
  <c r="B98" i="3"/>
  <c r="C98" i="3" s="1"/>
  <c r="B104" i="3"/>
  <c r="C104" i="3" s="1"/>
  <c r="B95" i="3"/>
  <c r="C95" i="3" s="1"/>
  <c r="B114" i="3"/>
  <c r="C114" i="3" s="1"/>
  <c r="B89" i="3"/>
  <c r="C89" i="3" s="1"/>
  <c r="B116" i="3"/>
  <c r="C116" i="3" s="1"/>
  <c r="B78" i="3"/>
  <c r="C78" i="3" s="1"/>
  <c r="B76" i="3"/>
  <c r="C76" i="3" s="1"/>
  <c r="B107" i="3"/>
  <c r="C107" i="3" s="1"/>
  <c r="B103" i="3"/>
  <c r="C103" i="3" s="1"/>
  <c r="B99" i="3"/>
  <c r="C99" i="3" s="1"/>
  <c r="B79" i="3"/>
  <c r="C79" i="3" s="1"/>
  <c r="B70" i="3"/>
  <c r="C70" i="3" s="1"/>
  <c r="B120" i="3"/>
  <c r="C120" i="3" s="1"/>
  <c r="B65" i="3"/>
  <c r="C65" i="3" s="1"/>
  <c r="B84" i="3"/>
  <c r="C84" i="3" s="1"/>
  <c r="B87" i="3"/>
  <c r="C87" i="3" s="1"/>
  <c r="B101" i="3"/>
  <c r="C101" i="3" s="1"/>
  <c r="B108" i="3"/>
  <c r="C108" i="3" s="1"/>
  <c r="B102" i="3"/>
  <c r="C102" i="3" s="1"/>
  <c r="B121" i="3"/>
  <c r="C121" i="3" s="1"/>
  <c r="B85" i="3"/>
  <c r="C85" i="3" s="1"/>
  <c r="B93" i="3"/>
  <c r="C93" i="3" s="1"/>
  <c r="B111" i="3"/>
  <c r="C111" i="3" s="1"/>
  <c r="B115" i="3"/>
  <c r="C115" i="3" s="1"/>
  <c r="J100" i="3" l="1"/>
  <c r="K100" i="3"/>
  <c r="J101" i="3"/>
  <c r="K101" i="3"/>
  <c r="J103" i="3"/>
  <c r="K103" i="3"/>
  <c r="K95" i="3"/>
  <c r="J95" i="3"/>
  <c r="K97" i="3"/>
  <c r="J97" i="3"/>
  <c r="K105" i="3"/>
  <c r="J105" i="3"/>
  <c r="J117" i="3"/>
  <c r="K117" i="3"/>
  <c r="K99" i="3"/>
  <c r="J99" i="3"/>
  <c r="K87" i="3"/>
  <c r="J87" i="3"/>
  <c r="K104" i="3"/>
  <c r="J104" i="3"/>
  <c r="K83" i="3"/>
  <c r="J83" i="3"/>
  <c r="K122" i="3"/>
  <c r="J122" i="3"/>
  <c r="J118" i="3"/>
  <c r="K118" i="3"/>
  <c r="J108" i="3"/>
  <c r="K108" i="3"/>
  <c r="J111" i="3"/>
  <c r="K111" i="3"/>
  <c r="J107" i="3"/>
  <c r="K107" i="3"/>
  <c r="K98" i="3"/>
  <c r="J98" i="3"/>
  <c r="J94" i="3"/>
  <c r="K94" i="3"/>
  <c r="K123" i="3"/>
  <c r="J123" i="3"/>
  <c r="J109" i="3"/>
  <c r="K109" i="3"/>
  <c r="J115" i="3"/>
  <c r="K115" i="3"/>
  <c r="J93" i="3"/>
  <c r="K93" i="3"/>
  <c r="K65" i="3"/>
  <c r="J65" i="3"/>
  <c r="J76" i="3"/>
  <c r="K76" i="3"/>
  <c r="K119" i="3"/>
  <c r="J119" i="3"/>
  <c r="J110" i="3"/>
  <c r="K110" i="3"/>
  <c r="J92" i="3"/>
  <c r="K92" i="3"/>
  <c r="K96" i="3"/>
  <c r="J96" i="3"/>
  <c r="J85" i="3"/>
  <c r="K85" i="3"/>
  <c r="K120" i="3"/>
  <c r="J120" i="3"/>
  <c r="J78" i="3"/>
  <c r="K78" i="3"/>
  <c r="J86" i="3"/>
  <c r="K86" i="3"/>
  <c r="K90" i="3"/>
  <c r="J90" i="3"/>
  <c r="K106" i="3"/>
  <c r="J106" i="3"/>
  <c r="K91" i="3"/>
  <c r="J91" i="3"/>
  <c r="J84" i="3"/>
  <c r="K84" i="3"/>
  <c r="J70" i="3"/>
  <c r="K70" i="3"/>
  <c r="J116" i="3"/>
  <c r="K116" i="3"/>
  <c r="K113" i="3"/>
  <c r="J113" i="3"/>
  <c r="K112" i="3"/>
  <c r="J112" i="3"/>
  <c r="K82" i="3"/>
  <c r="J82" i="3"/>
  <c r="K114" i="3"/>
  <c r="J114" i="3"/>
  <c r="K121" i="3"/>
  <c r="J121" i="3"/>
  <c r="J102" i="3"/>
  <c r="K102" i="3"/>
  <c r="J79" i="3"/>
  <c r="K79" i="3"/>
  <c r="K89" i="3"/>
  <c r="J89" i="3"/>
  <c r="K81" i="3"/>
  <c r="J81" i="3"/>
  <c r="K80" i="3"/>
  <c r="J80" i="3"/>
  <c r="K88" i="3"/>
  <c r="J88" i="3"/>
  <c r="D119" i="3"/>
  <c r="E119" i="3"/>
  <c r="E106" i="3"/>
  <c r="D106" i="3"/>
  <c r="E116" i="3"/>
  <c r="D116" i="3"/>
  <c r="D113" i="3"/>
  <c r="E113" i="3"/>
  <c r="E112" i="3"/>
  <c r="D112" i="3"/>
  <c r="E82" i="3"/>
  <c r="D82" i="3"/>
  <c r="E76" i="3"/>
  <c r="D76" i="3"/>
  <c r="E120" i="3"/>
  <c r="D120" i="3"/>
  <c r="D121" i="3"/>
  <c r="E121" i="3"/>
  <c r="E70" i="3"/>
  <c r="D70" i="3"/>
  <c r="D102" i="3"/>
  <c r="E102" i="3"/>
  <c r="D79" i="3"/>
  <c r="E79" i="3"/>
  <c r="D89" i="3"/>
  <c r="E89" i="3"/>
  <c r="D81" i="3"/>
  <c r="E81" i="3"/>
  <c r="D80" i="3"/>
  <c r="E80" i="3"/>
  <c r="E88" i="3"/>
  <c r="D88" i="3"/>
  <c r="E85" i="3"/>
  <c r="D85" i="3"/>
  <c r="D108" i="3"/>
  <c r="E108" i="3"/>
  <c r="E114" i="3"/>
  <c r="D114" i="3"/>
  <c r="E96" i="3"/>
  <c r="D96" i="3"/>
  <c r="E91" i="3"/>
  <c r="D91" i="3"/>
  <c r="D100" i="3"/>
  <c r="E100" i="3"/>
  <c r="D93" i="3"/>
  <c r="E93" i="3"/>
  <c r="D92" i="3"/>
  <c r="E92" i="3"/>
  <c r="D86" i="3"/>
  <c r="E86" i="3"/>
  <c r="E99" i="3"/>
  <c r="D99" i="3"/>
  <c r="E101" i="3"/>
  <c r="D101" i="3"/>
  <c r="D103" i="3"/>
  <c r="E103" i="3"/>
  <c r="D95" i="3"/>
  <c r="E95" i="3"/>
  <c r="E97" i="3"/>
  <c r="D97" i="3"/>
  <c r="E105" i="3"/>
  <c r="D105" i="3"/>
  <c r="E117" i="3"/>
  <c r="D117" i="3"/>
  <c r="E65" i="3"/>
  <c r="D65" i="3"/>
  <c r="D78" i="3"/>
  <c r="E78" i="3"/>
  <c r="E115" i="3"/>
  <c r="D115" i="3"/>
  <c r="D87" i="3"/>
  <c r="E87" i="3"/>
  <c r="E104" i="3"/>
  <c r="D104" i="3"/>
  <c r="E83" i="3"/>
  <c r="D83" i="3"/>
  <c r="E122" i="3"/>
  <c r="D122" i="3"/>
  <c r="D118" i="3"/>
  <c r="E118" i="3"/>
  <c r="D110" i="3"/>
  <c r="E110" i="3"/>
  <c r="E90" i="3"/>
  <c r="D90" i="3"/>
  <c r="D111" i="3"/>
  <c r="E111" i="3"/>
  <c r="D84" i="3"/>
  <c r="E84" i="3"/>
  <c r="E107" i="3"/>
  <c r="D107" i="3"/>
  <c r="E98" i="3"/>
  <c r="D98" i="3"/>
  <c r="D94" i="3"/>
  <c r="E94" i="3"/>
  <c r="E123" i="3"/>
  <c r="D123" i="3"/>
  <c r="D109" i="3"/>
  <c r="E109" i="3"/>
  <c r="E24" i="2"/>
  <c r="E25" i="2"/>
  <c r="E23" i="2"/>
  <c r="E26" i="2"/>
  <c r="I122" i="3" l="1"/>
  <c r="H122" i="3"/>
  <c r="G122" i="3"/>
  <c r="G101" i="3"/>
  <c r="I101" i="3"/>
  <c r="H101" i="3"/>
  <c r="G116" i="3"/>
  <c r="I116" i="3"/>
  <c r="H116" i="3"/>
  <c r="I98" i="3"/>
  <c r="H98" i="3"/>
  <c r="G98" i="3"/>
  <c r="I90" i="3"/>
  <c r="H90" i="3"/>
  <c r="G90" i="3"/>
  <c r="I83" i="3"/>
  <c r="H83" i="3"/>
  <c r="G83" i="3"/>
  <c r="I97" i="3"/>
  <c r="H97" i="3"/>
  <c r="G97" i="3"/>
  <c r="I99" i="3"/>
  <c r="H99" i="3"/>
  <c r="G99" i="3"/>
  <c r="H70" i="3"/>
  <c r="G70" i="3"/>
  <c r="I70" i="3"/>
  <c r="I82" i="3"/>
  <c r="H82" i="3"/>
  <c r="G82" i="3"/>
  <c r="I106" i="3"/>
  <c r="H106" i="3"/>
  <c r="G106" i="3"/>
  <c r="H80" i="3"/>
  <c r="G80" i="3"/>
  <c r="I80" i="3"/>
  <c r="H78" i="3"/>
  <c r="G78" i="3"/>
  <c r="I78" i="3"/>
  <c r="G100" i="3"/>
  <c r="I100" i="3"/>
  <c r="H100" i="3"/>
  <c r="G108" i="3"/>
  <c r="I108" i="3"/>
  <c r="H108" i="3"/>
  <c r="I81" i="3"/>
  <c r="H81" i="3"/>
  <c r="G81" i="3"/>
  <c r="I114" i="3"/>
  <c r="H114" i="3"/>
  <c r="G114" i="3"/>
  <c r="G76" i="3"/>
  <c r="I76" i="3"/>
  <c r="H76" i="3"/>
  <c r="G107" i="3"/>
  <c r="I107" i="3"/>
  <c r="H107" i="3"/>
  <c r="H104" i="3"/>
  <c r="G104" i="3"/>
  <c r="I104" i="3"/>
  <c r="I65" i="3"/>
  <c r="H65" i="3"/>
  <c r="G65" i="3"/>
  <c r="G91" i="3"/>
  <c r="I91" i="3"/>
  <c r="H91" i="3"/>
  <c r="G85" i="3"/>
  <c r="I85" i="3"/>
  <c r="H85" i="3"/>
  <c r="H112" i="3"/>
  <c r="G112" i="3"/>
  <c r="I112" i="3"/>
  <c r="I105" i="3"/>
  <c r="H105" i="3"/>
  <c r="G105" i="3"/>
  <c r="H95" i="3"/>
  <c r="G95" i="3"/>
  <c r="I95" i="3"/>
  <c r="H86" i="3"/>
  <c r="G86" i="3"/>
  <c r="I86" i="3"/>
  <c r="I89" i="3"/>
  <c r="H89" i="3"/>
  <c r="G89" i="3"/>
  <c r="I121" i="3"/>
  <c r="H121" i="3"/>
  <c r="G121" i="3"/>
  <c r="H119" i="3"/>
  <c r="G119" i="3"/>
  <c r="I119" i="3"/>
  <c r="H111" i="3"/>
  <c r="G111" i="3"/>
  <c r="I111" i="3"/>
  <c r="H102" i="3"/>
  <c r="G102" i="3"/>
  <c r="I102" i="3"/>
  <c r="I109" i="3"/>
  <c r="H109" i="3"/>
  <c r="G109" i="3"/>
  <c r="G123" i="3"/>
  <c r="I123" i="3"/>
  <c r="H123" i="3"/>
  <c r="G117" i="3"/>
  <c r="I117" i="3"/>
  <c r="H117" i="3"/>
  <c r="H96" i="3"/>
  <c r="G96" i="3"/>
  <c r="I96" i="3"/>
  <c r="H88" i="3"/>
  <c r="G88" i="3"/>
  <c r="I88" i="3"/>
  <c r="H120" i="3"/>
  <c r="G120" i="3"/>
  <c r="I120" i="3"/>
  <c r="I115" i="3"/>
  <c r="H115" i="3"/>
  <c r="G115" i="3"/>
  <c r="H94" i="3"/>
  <c r="G94" i="3"/>
  <c r="I94" i="3"/>
  <c r="G93" i="3"/>
  <c r="I93" i="3"/>
  <c r="H93" i="3"/>
  <c r="G110" i="3"/>
  <c r="I110" i="3"/>
  <c r="H110" i="3"/>
  <c r="G84" i="3"/>
  <c r="I84" i="3"/>
  <c r="H84" i="3"/>
  <c r="H118" i="3"/>
  <c r="G118" i="3"/>
  <c r="I118" i="3"/>
  <c r="H87" i="3"/>
  <c r="G87" i="3"/>
  <c r="I87" i="3"/>
  <c r="H103" i="3"/>
  <c r="G103" i="3"/>
  <c r="I103" i="3"/>
  <c r="G92" i="3"/>
  <c r="I92" i="3"/>
  <c r="H92" i="3"/>
  <c r="H79" i="3"/>
  <c r="G79" i="3"/>
  <c r="I79" i="3"/>
  <c r="I113" i="3"/>
  <c r="H113" i="3"/>
  <c r="G113" i="3"/>
  <c r="F109" i="3"/>
  <c r="F110" i="3"/>
  <c r="F78" i="3"/>
  <c r="F100" i="3"/>
  <c r="F108" i="3"/>
  <c r="F81" i="3"/>
  <c r="F97" i="3"/>
  <c r="F82" i="3"/>
  <c r="F65" i="3"/>
  <c r="F91" i="3"/>
  <c r="F85" i="3"/>
  <c r="F112" i="3"/>
  <c r="F99" i="3"/>
  <c r="F84" i="3"/>
  <c r="F118" i="3"/>
  <c r="F95" i="3"/>
  <c r="F86" i="3"/>
  <c r="F89" i="3"/>
  <c r="F121" i="3"/>
  <c r="F119" i="3"/>
  <c r="F106" i="3"/>
  <c r="F122" i="3"/>
  <c r="F117" i="3"/>
  <c r="F96" i="3"/>
  <c r="F88" i="3"/>
  <c r="F120" i="3"/>
  <c r="F104" i="3"/>
  <c r="F123" i="3"/>
  <c r="F94" i="3"/>
  <c r="F111" i="3"/>
  <c r="F87" i="3"/>
  <c r="F103" i="3"/>
  <c r="F92" i="3"/>
  <c r="F79" i="3"/>
  <c r="F113" i="3"/>
  <c r="F70" i="3"/>
  <c r="F90" i="3"/>
  <c r="F83" i="3"/>
  <c r="F115" i="3"/>
  <c r="F105" i="3"/>
  <c r="F101" i="3"/>
  <c r="F114" i="3"/>
  <c r="F76" i="3"/>
  <c r="F116" i="3"/>
  <c r="F107" i="3"/>
  <c r="F98" i="3"/>
  <c r="F93" i="3"/>
  <c r="F80" i="3"/>
  <c r="F102" i="3"/>
</calcChain>
</file>

<file path=xl/sharedStrings.xml><?xml version="1.0" encoding="utf-8"?>
<sst xmlns="http://schemas.openxmlformats.org/spreadsheetml/2006/main" count="541" uniqueCount="262">
  <si>
    <t>Vessel class</t>
  </si>
  <si>
    <t>Capacity FFE</t>
  </si>
  <si>
    <t>TC rate daily (fixed Cost)</t>
  </si>
  <si>
    <t>draft</t>
  </si>
  <si>
    <t>minSpeed</t>
  </si>
  <si>
    <t>maxSpeed</t>
  </si>
  <si>
    <t>designSpeed</t>
  </si>
  <si>
    <t>Bunker ton per day at designSpeed</t>
  </si>
  <si>
    <t>Idle Consumption ton/day</t>
  </si>
  <si>
    <t>panamaFee</t>
  </si>
  <si>
    <t>suezFee</t>
  </si>
  <si>
    <t>Feeder_450</t>
  </si>
  <si>
    <t>Feeder_800</t>
  </si>
  <si>
    <t>Panamax_1200</t>
  </si>
  <si>
    <t>Panamax_2400</t>
  </si>
  <si>
    <t>Post_panamax</t>
  </si>
  <si>
    <t>Super_panamax</t>
  </si>
  <si>
    <t>Slope</t>
  </si>
  <si>
    <t>Intercept</t>
  </si>
  <si>
    <t xml:space="preserve">   </t>
  </si>
  <si>
    <t>Liner Lib</t>
  </si>
  <si>
    <t>UNLocode</t>
  </si>
  <si>
    <t>Country_LOCODE</t>
  </si>
  <si>
    <t>Name</t>
  </si>
  <si>
    <t>Country</t>
  </si>
  <si>
    <t>Cabotage_Region</t>
  </si>
  <si>
    <t>D_Region</t>
  </si>
  <si>
    <t>Longitude</t>
  </si>
  <si>
    <t>Latitude</t>
  </si>
  <si>
    <t>Draft</t>
  </si>
  <si>
    <t>CostPerFULL</t>
  </si>
  <si>
    <t>CostPerFULLTrnsf</t>
  </si>
  <si>
    <t>PortCallCostFixed</t>
  </si>
  <si>
    <t>PortCallCostPerFFE</t>
  </si>
  <si>
    <t>JPTYO</t>
  </si>
  <si>
    <t>JP</t>
  </si>
  <si>
    <t>Tokyo</t>
  </si>
  <si>
    <t>Japan</t>
  </si>
  <si>
    <t>LKCMB</t>
  </si>
  <si>
    <t>LK</t>
  </si>
  <si>
    <t>Colombo</t>
  </si>
  <si>
    <t>Sri Lanka</t>
  </si>
  <si>
    <t>Mumbai</t>
  </si>
  <si>
    <t>HKHKG</t>
  </si>
  <si>
    <t>HK</t>
  </si>
  <si>
    <t>Hong Kong</t>
  </si>
  <si>
    <t>JPSMZ</t>
  </si>
  <si>
    <t>Shimizu</t>
  </si>
  <si>
    <t>CNCWN</t>
  </si>
  <si>
    <t>CN</t>
  </si>
  <si>
    <t>Chiwan</t>
  </si>
  <si>
    <t>China</t>
  </si>
  <si>
    <t>South China</t>
  </si>
  <si>
    <t>CNYTN</t>
  </si>
  <si>
    <t>Shenzhen</t>
  </si>
  <si>
    <t>CNTXG</t>
  </si>
  <si>
    <t>Xingang</t>
  </si>
  <si>
    <t>North China</t>
  </si>
  <si>
    <t>CNSHA</t>
  </si>
  <si>
    <t>Shanghai</t>
  </si>
  <si>
    <t>Central China</t>
  </si>
  <si>
    <t>JPNGO</t>
  </si>
  <si>
    <t>Nagoya</t>
  </si>
  <si>
    <t>SGSIN</t>
  </si>
  <si>
    <t>SG</t>
  </si>
  <si>
    <t>Singapore</t>
  </si>
  <si>
    <t>CNNGB</t>
  </si>
  <si>
    <t>Ningbo</t>
  </si>
  <si>
    <t>CNLYG</t>
  </si>
  <si>
    <t>Lianyungang</t>
  </si>
  <si>
    <t>MYTPP</t>
  </si>
  <si>
    <t>MY</t>
  </si>
  <si>
    <t>Tanjung Pelepas</t>
  </si>
  <si>
    <t>Malaysia</t>
  </si>
  <si>
    <t>JPYOK</t>
  </si>
  <si>
    <t>Yokohama</t>
  </si>
  <si>
    <t>KRPUS</t>
  </si>
  <si>
    <t>KR</t>
  </si>
  <si>
    <t>Busan</t>
  </si>
  <si>
    <t>Korea. South</t>
  </si>
  <si>
    <t>Korea</t>
  </si>
  <si>
    <t>MYPKG</t>
  </si>
  <si>
    <t>Port Klang</t>
  </si>
  <si>
    <t>INPAV</t>
  </si>
  <si>
    <t>IN</t>
  </si>
  <si>
    <t>Pipavav</t>
  </si>
  <si>
    <t>India</t>
  </si>
  <si>
    <t>JPHKT</t>
  </si>
  <si>
    <t>Hakata</t>
  </si>
  <si>
    <t>CNFOC</t>
  </si>
  <si>
    <t>Fuzhou</t>
  </si>
  <si>
    <t>INMAA</t>
  </si>
  <si>
    <t>Chennai</t>
  </si>
  <si>
    <t>CNNSA</t>
  </si>
  <si>
    <t>Nansha New Port</t>
  </si>
  <si>
    <t>CNDLC</t>
  </si>
  <si>
    <t>Dalian</t>
  </si>
  <si>
    <t>CNTAO</t>
  </si>
  <si>
    <t>Qingdao</t>
  </si>
  <si>
    <t>CNXMN</t>
  </si>
  <si>
    <t>Xiamen</t>
  </si>
  <si>
    <t>JPUKB</t>
  </si>
  <si>
    <t>Kobe</t>
  </si>
  <si>
    <t>KRKAN</t>
  </si>
  <si>
    <t>Kwangyang</t>
  </si>
  <si>
    <t>TWKHH</t>
  </si>
  <si>
    <t>TW</t>
  </si>
  <si>
    <t>Kaohsiung</t>
  </si>
  <si>
    <t>Taiwan</t>
  </si>
  <si>
    <t>CNSHK</t>
  </si>
  <si>
    <t>Shekou</t>
  </si>
  <si>
    <t>INCOK</t>
  </si>
  <si>
    <t>Cochin</t>
  </si>
  <si>
    <t>JPOSA</t>
  </si>
  <si>
    <t>Osaka</t>
  </si>
  <si>
    <t>TWKEL</t>
  </si>
  <si>
    <t>Keelung</t>
  </si>
  <si>
    <t>PKKHI</t>
  </si>
  <si>
    <t>PK</t>
  </si>
  <si>
    <t>Karachi</t>
  </si>
  <si>
    <t>Pakistan</t>
  </si>
  <si>
    <t>INNSA</t>
  </si>
  <si>
    <t>Jawaharlal Nehru</t>
  </si>
  <si>
    <t>IDSUB</t>
  </si>
  <si>
    <t>ID</t>
  </si>
  <si>
    <t>Surabaya</t>
  </si>
  <si>
    <t>Indonesia</t>
  </si>
  <si>
    <t>PHMNL</t>
  </si>
  <si>
    <t>PH</t>
  </si>
  <si>
    <t>Manila</t>
  </si>
  <si>
    <t>Philippines</t>
  </si>
  <si>
    <t>MYPEN</t>
  </si>
  <si>
    <t>Penang</t>
  </si>
  <si>
    <t>IDSRG</t>
  </si>
  <si>
    <t>Semarang</t>
  </si>
  <si>
    <t>CNHUA</t>
  </si>
  <si>
    <t>Huangpu</t>
  </si>
  <si>
    <t>BDCGP</t>
  </si>
  <si>
    <t>BD</t>
  </si>
  <si>
    <t>Chittagong</t>
  </si>
  <si>
    <t>Bangladesh</t>
  </si>
  <si>
    <t>PKBQM</t>
  </si>
  <si>
    <t>Port Qasim</t>
  </si>
  <si>
    <t>THLCH</t>
  </si>
  <si>
    <t>TH</t>
  </si>
  <si>
    <t>Laem Chabang</t>
  </si>
  <si>
    <t>Thailand</t>
  </si>
  <si>
    <t>VNDAD</t>
  </si>
  <si>
    <t>VN</t>
  </si>
  <si>
    <t>Da Nang</t>
  </si>
  <si>
    <t>Vietnam</t>
  </si>
  <si>
    <t>KHKOS</t>
  </si>
  <si>
    <t>KH</t>
  </si>
  <si>
    <t>Sihanoukville</t>
  </si>
  <si>
    <t>Cambodia</t>
  </si>
  <si>
    <t>THSGZ</t>
  </si>
  <si>
    <t>Songkhla</t>
  </si>
  <si>
    <t>VNHPH</t>
  </si>
  <si>
    <t>Haiphong</t>
  </si>
  <si>
    <t>INTUT</t>
  </si>
  <si>
    <t>Tuticorin</t>
  </si>
  <si>
    <t>INIXY</t>
  </si>
  <si>
    <t>Kandla</t>
  </si>
  <si>
    <t>IDJKT</t>
  </si>
  <si>
    <t>Jakarta</t>
  </si>
  <si>
    <t>VNSGN</t>
  </si>
  <si>
    <t>Saigon</t>
  </si>
  <si>
    <t>INCCU</t>
  </si>
  <si>
    <t>KRICH</t>
  </si>
  <si>
    <t>Inchon</t>
  </si>
  <si>
    <t>PHGES</t>
  </si>
  <si>
    <t>General Santos City</t>
  </si>
  <si>
    <t>INHAL</t>
  </si>
  <si>
    <t>Haldia Port. India</t>
  </si>
  <si>
    <t>JPCHW</t>
  </si>
  <si>
    <t>Chimu Wan</t>
  </si>
  <si>
    <t>Sel_Port</t>
  </si>
  <si>
    <t>CNDCB</t>
  </si>
  <si>
    <t>CNYTG</t>
  </si>
  <si>
    <t>CNQZH</t>
  </si>
  <si>
    <t>CNXMG</t>
  </si>
  <si>
    <t>CNQDG</t>
  </si>
  <si>
    <t>CNNBG</t>
  </si>
  <si>
    <t>CNSHG</t>
  </si>
  <si>
    <t>INDMQ</t>
  </si>
  <si>
    <t>INVTZ</t>
  </si>
  <si>
    <t>INHZA</t>
  </si>
  <si>
    <t>INMUN</t>
  </si>
  <si>
    <t>JPMOJ</t>
  </si>
  <si>
    <t>JPYKK</t>
  </si>
  <si>
    <t>KRINC</t>
  </si>
  <si>
    <t>KRUSN</t>
  </si>
  <si>
    <t>MMRGN</t>
  </si>
  <si>
    <t>MM</t>
  </si>
  <si>
    <t>MYBTU</t>
  </si>
  <si>
    <t>MYJHB</t>
  </si>
  <si>
    <t>PHCEB</t>
  </si>
  <si>
    <t>PHSFS</t>
  </si>
  <si>
    <t>PHBTG</t>
  </si>
  <si>
    <t>PHDVO</t>
  </si>
  <si>
    <t>THBKK</t>
  </si>
  <si>
    <t>TWTXG</t>
  </si>
  <si>
    <t>TWTPE</t>
  </si>
  <si>
    <t>Int_c</t>
  </si>
  <si>
    <t>Unoion</t>
  </si>
  <si>
    <t>Converted</t>
  </si>
  <si>
    <t>Sel_count</t>
  </si>
  <si>
    <t>Val_count</t>
  </si>
  <si>
    <t>-</t>
  </si>
  <si>
    <t>Sel_port</t>
  </si>
  <si>
    <t>Characteristics of the liner ship fleet.</t>
  </si>
  <si>
    <t>Parameter</t>
  </si>
  <si>
    <t>Unit</t>
  </si>
  <si>
    <t>Capacity</t>
  </si>
  <si>
    <t>Fixed operating cost</t>
  </si>
  <si>
    <t>USD/week</t>
  </si>
  <si>
    <t>TEUs</t>
  </si>
  <si>
    <t>knots</t>
  </si>
  <si>
    <t>Speed</t>
  </si>
  <si>
    <t>Bunker cost</t>
  </si>
  <si>
    <t>Fixed cost for calling at a port</t>
  </si>
  <si>
    <t>USD</t>
  </si>
  <si>
    <t>USD/h</t>
  </si>
  <si>
    <t>Berth occupancy charge</t>
  </si>
  <si>
    <t>Fixed time when calling at a port</t>
  </si>
  <si>
    <t>h</t>
  </si>
  <si>
    <t>h/TEU</t>
  </si>
  <si>
    <t>Container handling time</t>
  </si>
  <si>
    <t>Number of owned ships</t>
  </si>
  <si>
    <t>Profit gained from chartering out a ship</t>
  </si>
  <si>
    <t>Maximum number of ships that can be chartered in</t>
  </si>
  <si>
    <t>Cost of chartering in a ship</t>
  </si>
  <si>
    <t>TC Weekly</t>
  </si>
  <si>
    <t>fp</t>
  </si>
  <si>
    <t>vp</t>
  </si>
  <si>
    <t>up</t>
  </si>
  <si>
    <t>type_1</t>
  </si>
  <si>
    <t>type_2</t>
  </si>
  <si>
    <t>type_3</t>
  </si>
  <si>
    <t>type0</t>
  </si>
  <si>
    <t>Locode</t>
  </si>
  <si>
    <t>*Note : use rate of nearest port in the same country</t>
  </si>
  <si>
    <t xml:space="preserve"> </t>
  </si>
  <si>
    <t>Copy From</t>
  </si>
  <si>
    <t>Max_size</t>
  </si>
  <si>
    <t>Median_Size</t>
  </si>
  <si>
    <t>Class</t>
  </si>
  <si>
    <t>Feeder</t>
  </si>
  <si>
    <t>Panamax</t>
  </si>
  <si>
    <t>Post Panamax</t>
  </si>
  <si>
    <t>ULCV</t>
  </si>
  <si>
    <t>Charter</t>
  </si>
  <si>
    <t>Idle</t>
  </si>
  <si>
    <t>Consumption</t>
  </si>
  <si>
    <t>Brouer</t>
  </si>
  <si>
    <t>Wang</t>
  </si>
  <si>
    <t>USD/nmile</t>
  </si>
  <si>
    <t>Consumpt (240 nmile)</t>
  </si>
  <si>
    <t>Used This</t>
  </si>
  <si>
    <t>Oil Price 2015</t>
  </si>
  <si>
    <t>THC</t>
  </si>
  <si>
    <t>Transs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</si>
</sst>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Font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LinerLib_fleet!$B$3:$B$8</c:f>
              <c:numCache>
                <c:formatCode>General</c:formatCode>
                <c:ptCount val="6"/>
                <c:pt idx="0">
                  <c:v>450</c:v>
                </c:pt>
                <c:pt idx="1">
                  <c:v>800</c:v>
                </c:pt>
                <c:pt idx="2">
                  <c:v>1200</c:v>
                </c:pt>
                <c:pt idx="3">
                  <c:v>2400</c:v>
                </c:pt>
                <c:pt idx="4">
                  <c:v>4200</c:v>
                </c:pt>
                <c:pt idx="5">
                  <c:v>7500</c:v>
                </c:pt>
              </c:numCache>
            </c:numRef>
          </c:xVal>
          <c:yVal>
            <c:numRef>
              <c:f>LinerLib_fleet!$C$3:$C$8</c:f>
              <c:numCache>
                <c:formatCode>General</c:formatCode>
                <c:ptCount val="6"/>
                <c:pt idx="0">
                  <c:v>5000</c:v>
                </c:pt>
                <c:pt idx="1">
                  <c:v>8000</c:v>
                </c:pt>
                <c:pt idx="2">
                  <c:v>11000</c:v>
                </c:pt>
                <c:pt idx="3">
                  <c:v>21000</c:v>
                </c:pt>
                <c:pt idx="4">
                  <c:v>35000</c:v>
                </c:pt>
                <c:pt idx="5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7-4E44-94F2-8298B712B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46143"/>
        <c:axId val="1467756543"/>
      </c:scatterChart>
      <c:valAx>
        <c:axId val="119774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756543"/>
        <c:crosses val="autoZero"/>
        <c:crossBetween val="midCat"/>
      </c:valAx>
      <c:valAx>
        <c:axId val="14677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LinerLib_fleet!$B$5:$B$8</c:f>
              <c:numCache>
                <c:formatCode>General</c:formatCode>
                <c:ptCount val="4"/>
                <c:pt idx="0">
                  <c:v>1200</c:v>
                </c:pt>
                <c:pt idx="1">
                  <c:v>2400</c:v>
                </c:pt>
                <c:pt idx="2">
                  <c:v>4200</c:v>
                </c:pt>
                <c:pt idx="3">
                  <c:v>7500</c:v>
                </c:pt>
              </c:numCache>
            </c:numRef>
          </c:xVal>
          <c:yVal>
            <c:numRef>
              <c:f>LinerLib_fleet!$I$5:$I$8</c:f>
              <c:numCache>
                <c:formatCode>General</c:formatCode>
                <c:ptCount val="4"/>
                <c:pt idx="0">
                  <c:v>52.5</c:v>
                </c:pt>
                <c:pt idx="1">
                  <c:v>57.4</c:v>
                </c:pt>
                <c:pt idx="2">
                  <c:v>82.2</c:v>
                </c:pt>
                <c:pt idx="3">
                  <c:v>126.9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D-43A7-B749-80B92F72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46143"/>
        <c:axId val="1467756543"/>
      </c:scatterChart>
      <c:valAx>
        <c:axId val="119774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756543"/>
        <c:crosses val="autoZero"/>
        <c:crossBetween val="midCat"/>
      </c:valAx>
      <c:valAx>
        <c:axId val="14677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LinerLib_fleet!$B$5:$B$8</c:f>
              <c:numCache>
                <c:formatCode>General</c:formatCode>
                <c:ptCount val="4"/>
                <c:pt idx="0">
                  <c:v>1200</c:v>
                </c:pt>
                <c:pt idx="1">
                  <c:v>2400</c:v>
                </c:pt>
                <c:pt idx="2">
                  <c:v>4200</c:v>
                </c:pt>
                <c:pt idx="3">
                  <c:v>7500</c:v>
                </c:pt>
              </c:numCache>
            </c:numRef>
          </c:xVal>
          <c:yVal>
            <c:numRef>
              <c:f>LinerLib_fleet!$J$5:$J$8</c:f>
              <c:numCache>
                <c:formatCode>General</c:formatCode>
                <c:ptCount val="4"/>
                <c:pt idx="0">
                  <c:v>4</c:v>
                </c:pt>
                <c:pt idx="1">
                  <c:v>5.3</c:v>
                </c:pt>
                <c:pt idx="2">
                  <c:v>7.4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4-4436-8D19-82EF3C7D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46143"/>
        <c:axId val="1467756543"/>
      </c:scatterChart>
      <c:valAx>
        <c:axId val="119774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756543"/>
        <c:crosses val="autoZero"/>
        <c:crossBetween val="midCat"/>
      </c:valAx>
      <c:valAx>
        <c:axId val="14677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82867</xdr:rowOff>
    </xdr:from>
    <xdr:to>
      <xdr:col>6</xdr:col>
      <xdr:colOff>5715</xdr:colOff>
      <xdr:row>29</xdr:row>
      <xdr:rowOff>103822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172461-BDB4-45F4-B012-2526485E4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149678</xdr:colOff>
      <xdr:row>14</xdr:row>
      <xdr:rowOff>122464</xdr:rowOff>
    </xdr:from>
    <xdr:to>
      <xdr:col>13</xdr:col>
      <xdr:colOff>452573</xdr:colOff>
      <xdr:row>29</xdr:row>
      <xdr:rowOff>143419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8D51B6-0DCA-4759-A222-66CAE5280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509650</xdr:colOff>
      <xdr:row>14</xdr:row>
      <xdr:rowOff>143494</xdr:rowOff>
    </xdr:from>
    <xdr:to>
      <xdr:col>21</xdr:col>
      <xdr:colOff>230184</xdr:colOff>
      <xdr:row>29</xdr:row>
      <xdr:rowOff>168259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EFC813-41CC-4C60-A655-BAB2834EE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887416-50F4-4103-BF12-34EE1621C6E7}" name="Table1" displayName="Table1" ref="A1:R54" totalsRowShown="0">
  <autoFilter ref="A1:R54" xr:uid="{59E495F0-AA0B-41B8-B251-CDD695CA2B0C}"/>
  <sortState xmlns:xlrd2="http://schemas.microsoft.com/office/spreadsheetml/2017/richdata2" ref="A2:R54">
    <sortCondition ref="A1:A54"/>
  </sortState>
  <tableColumns count="18">
    <tableColumn id="1" xr3:uid="{25DDC846-1A48-4230-9AEE-C847C216B94D}" name="UNLocode"/>
    <tableColumn id="17" xr3:uid="{4C97F616-2117-416A-B357-29AD967D99B6}" name="Converted"/>
    <tableColumn id="18" xr3:uid="{CDB852BF-8BEE-46E2-9410-10019F564A69}" name="Locode">
      <calculatedColumnFormula>IF(ISBLANK(Table1[[#This Row],[Converted]]),Table1[[#This Row],[UNLocode]],Table1[[#This Row],[Converted]])</calculatedColumnFormula>
    </tableColumn>
    <tableColumn id="2" xr3:uid="{59569A0A-5CAB-4FC4-A99E-1E1A9BA1586B}" name="Country_LOCODE"/>
    <tableColumn id="3" xr3:uid="{9D3822D0-D6AC-42EF-9D03-1D7667971C5F}" name="Name"/>
    <tableColumn id="4" xr3:uid="{D2DEE8F5-95F9-4DB0-B6A9-5F51FE62E8DA}" name="Country"/>
    <tableColumn id="5" xr3:uid="{5FAAA857-A885-40C8-81C1-9274667917C2}" name="Cabotage_Region"/>
    <tableColumn id="6" xr3:uid="{3E3888A1-9F8F-4F84-A76E-103CB20B75BF}" name="D_Region"/>
    <tableColumn id="7" xr3:uid="{8D0B13C6-A605-45DD-8180-69A26B0E31E0}" name="Longitude"/>
    <tableColumn id="8" xr3:uid="{B1E22970-5B9C-4102-8EB9-01C50DCC451F}" name="Latitude"/>
    <tableColumn id="9" xr3:uid="{A8687272-F9C4-495D-A571-2855E76DB59B}" name="Draft"/>
    <tableColumn id="10" xr3:uid="{35EACC21-0DA2-46E0-BD43-3E9D82EF1378}" name="CostPerFULL"/>
    <tableColumn id="11" xr3:uid="{C11A3A12-DC28-431F-8915-89FCE0CF5B5F}" name="CostPerFULLTrnsf"/>
    <tableColumn id="12" xr3:uid="{4CE6AE21-8E84-4B6D-888A-8856264B7B64}" name="PortCallCostFixed"/>
    <tableColumn id="13" xr3:uid="{165314D0-08C1-4E37-93DE-B68AF67FD4DE}" name="PortCallCostPerFFE"/>
    <tableColumn id="14" xr3:uid="{E7A6CB39-7E40-4CE8-A79E-EB4EEBE75395}" name="Sel_Port" dataDxfId="12">
      <calculatedColumnFormula>OR(IFERROR(MATCH($A2,Sel_port,0)&gt;0,FALSE),IFERROR(MATCH($A2,Sel_port,0)&gt;0,FALSE))</calculatedColumnFormula>
    </tableColumn>
    <tableColumn id="15" xr3:uid="{B472BE91-B902-43CB-96D4-A312CC5B014C}" name="Int_c">
      <calculatedColumnFormula>IFERROR(MATCH(LEFT($A2,2),int_c,0)&gt;0,FALSE)</calculatedColumnFormula>
    </tableColumn>
    <tableColumn id="16" xr3:uid="{A3C608DB-7839-483B-AF19-D7E71C0B4658}" name="Unoion">
      <calculatedColumnFormula>OR(P2,Q2)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38FC55-4BDD-44F4-9DF8-8DD8829A04F0}" name="Table2" displayName="Table2" ref="A56:L123" totalsRowShown="0">
  <autoFilter ref="A56:L123" xr:uid="{8238FC55-4BDD-44F4-9DF8-8DD8829A04F0}"/>
  <sortState xmlns:xlrd2="http://schemas.microsoft.com/office/spreadsheetml/2017/richdata2" ref="A57:L123">
    <sortCondition ref="A56:A123"/>
  </sortState>
  <tableColumns count="12">
    <tableColumn id="1" xr3:uid="{C06865D2-5B6B-4B96-886F-563C544EC2D0}" name="Sel_port"/>
    <tableColumn id="2" xr3:uid="{C1A7CBA1-3EA7-4F57-8DF8-DEFBEAA6C436}" name="Val_count" dataDxfId="11">
      <calculatedColumnFormula>OR(IFERROR(MATCH($A57,Table1[Locode],0)&gt;0,FALSE))</calculatedColumnFormula>
    </tableColumn>
    <tableColumn id="5" xr3:uid="{BE4088D0-9CF4-471D-B9C2-1B796DEC1F02}" name="Copy From" dataDxfId="10">
      <calculatedColumnFormula>IF(Table2[[#This Row],[Val_count]],Table2[[#This Row],[Sel_port]],Table2[[#This Row],[up]])</calculatedColumnFormula>
    </tableColumn>
    <tableColumn id="3" xr3:uid="{73B4C12D-0270-49C4-9FB6-27D7FFD5359F}" name="fp" dataDxfId="8">
      <calculatedColumnFormula>INDEX(Table1[PortCallCostFixed],MATCH(Table2[[#This Row],[Copy From]],Table1[Locode],0))</calculatedColumnFormula>
    </tableColumn>
    <tableColumn id="4" xr3:uid="{F41B342C-3543-401A-9C38-B1A4EC71BB8F}" name="vp" dataDxfId="7">
      <calculatedColumnFormula>INT(INDEX(Table1[PortCallCostPerFFE],MATCH(Table2[[#This Row],[Copy From]],Table1[Locode],0))/2)</calculatedColumnFormula>
    </tableColumn>
    <tableColumn id="6" xr3:uid="{F81A77FC-A12D-4B4A-8591-DD994C881450}" name="type0" dataDxfId="4">
      <calculatedColumnFormula>Table2[[#This Row],[fp]]+Table2[[#This Row],[vp]]*1500</calculatedColumnFormula>
    </tableColumn>
    <tableColumn id="7" xr3:uid="{BBAF788F-FB8E-45D8-A251-08ABC5AFE208}" name="type_1" dataDxfId="3">
      <calculatedColumnFormula>Table2[[#This Row],[fp]]+Table2[[#This Row],[vp]]*5000</calculatedColumnFormula>
    </tableColumn>
    <tableColumn id="8" xr3:uid="{9BA303FA-1050-4E1E-992D-2A6C3C42D2FB}" name="type_2" dataDxfId="2">
      <calculatedColumnFormula>Table2[[#This Row],[fp]]+Table2[[#This Row],[vp]]*10000</calculatedColumnFormula>
    </tableColumn>
    <tableColumn id="9" xr3:uid="{7D950EB0-D28C-4399-91F3-84D0BD3B0A09}" name="type_3" dataDxfId="1">
      <calculatedColumnFormula>Table2[[#This Row],[fp]]+Table2[[#This Row],[vp]]*18000</calculatedColumnFormula>
    </tableColumn>
    <tableColumn id="10" xr3:uid="{AFFEA4A5-90D7-4ADD-B764-0B9FB2718B3C}" name="THC" dataDxfId="6">
      <calculatedColumnFormula>INT(INDEX(Table1[CostPerFULL],MATCH(Table2[[#This Row],[Copy From]],Table1[Locode],0))/2)</calculatedColumnFormula>
    </tableColumn>
    <tableColumn id="13" xr3:uid="{55EE1272-8D53-4EDC-9FF2-84D37394E0C2}" name="Transs" dataDxfId="5">
      <calculatedColumnFormula>INT(INDEX(Table1[CostPerFULLTrnsf],MATCH(Table2[[#This Row],[Copy From]],Table1[Locode],0))/2)</calculatedColumnFormula>
    </tableColumn>
    <tableColumn id="11" xr3:uid="{4BA8A375-A16A-4653-9349-FAD5D61173ED}" name="up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workbookViewId="0">
      <selection activeCell="I8" sqref="I8"/>
    </sheetView>
  </sheetViews>
  <sheetFormatPr defaultRowHeight="14.4" x14ac:dyDescent="0.3"/>
  <cols>
    <col min="1" max="1" width="14.88671875" bestFit="1" customWidth="1"/>
    <col min="2" max="2" width="11.5546875" bestFit="1" customWidth="1"/>
    <col min="3" max="3" width="22.77734375" customWidth="1"/>
    <col min="4" max="4" width="22.33203125" customWidth="1"/>
    <col min="9" max="9" width="21.77734375" customWidth="1"/>
    <col min="10" max="10" width="15.44140625" customWidth="1"/>
  </cols>
  <sheetData>
    <row r="1" spans="1:12" x14ac:dyDescent="0.3">
      <c r="A1" t="s">
        <v>20</v>
      </c>
    </row>
    <row r="2" spans="1:12" x14ac:dyDescent="0.3">
      <c r="A2" t="s">
        <v>0</v>
      </c>
      <c r="B2" t="s">
        <v>1</v>
      </c>
      <c r="C2" t="s">
        <v>2</v>
      </c>
      <c r="D2" t="s">
        <v>232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 x14ac:dyDescent="0.3">
      <c r="A3" t="s">
        <v>11</v>
      </c>
      <c r="B3">
        <v>450</v>
      </c>
      <c r="C3">
        <v>5000</v>
      </c>
      <c r="D3">
        <f t="shared" ref="D3:D8" si="0">C3*7</f>
        <v>35000</v>
      </c>
      <c r="E3">
        <v>8</v>
      </c>
      <c r="F3">
        <v>10</v>
      </c>
      <c r="G3">
        <v>14</v>
      </c>
      <c r="H3">
        <v>12</v>
      </c>
      <c r="I3">
        <v>18.8</v>
      </c>
      <c r="J3">
        <v>2.4</v>
      </c>
      <c r="K3">
        <v>64800</v>
      </c>
      <c r="L3">
        <v>175769</v>
      </c>
    </row>
    <row r="4" spans="1:12" x14ac:dyDescent="0.3">
      <c r="A4" t="s">
        <v>12</v>
      </c>
      <c r="B4">
        <v>800</v>
      </c>
      <c r="C4">
        <v>8000</v>
      </c>
      <c r="D4">
        <f t="shared" si="0"/>
        <v>56000</v>
      </c>
      <c r="E4">
        <v>9.5</v>
      </c>
      <c r="F4">
        <v>10</v>
      </c>
      <c r="G4">
        <v>17</v>
      </c>
      <c r="H4">
        <v>14</v>
      </c>
      <c r="I4">
        <v>23.7</v>
      </c>
      <c r="J4">
        <v>2.5</v>
      </c>
      <c r="K4">
        <v>115200</v>
      </c>
      <c r="L4">
        <v>218445</v>
      </c>
    </row>
    <row r="5" spans="1:12" x14ac:dyDescent="0.3">
      <c r="A5" t="s">
        <v>13</v>
      </c>
      <c r="B5">
        <v>1200</v>
      </c>
      <c r="C5">
        <v>11000</v>
      </c>
      <c r="D5">
        <f t="shared" si="0"/>
        <v>77000</v>
      </c>
      <c r="E5">
        <v>12</v>
      </c>
      <c r="F5">
        <v>12</v>
      </c>
      <c r="G5">
        <v>19</v>
      </c>
      <c r="H5">
        <v>18</v>
      </c>
      <c r="I5">
        <v>52.5</v>
      </c>
      <c r="J5">
        <v>4</v>
      </c>
      <c r="K5">
        <v>172800</v>
      </c>
      <c r="L5">
        <v>267217</v>
      </c>
    </row>
    <row r="6" spans="1:12" x14ac:dyDescent="0.3">
      <c r="A6" t="s">
        <v>14</v>
      </c>
      <c r="B6">
        <v>2400</v>
      </c>
      <c r="C6">
        <v>21000</v>
      </c>
      <c r="D6">
        <f t="shared" si="0"/>
        <v>147000</v>
      </c>
      <c r="E6">
        <v>11</v>
      </c>
      <c r="F6">
        <v>12</v>
      </c>
      <c r="G6">
        <v>22</v>
      </c>
      <c r="H6">
        <v>16</v>
      </c>
      <c r="I6">
        <v>57.4</v>
      </c>
      <c r="J6">
        <v>5.3</v>
      </c>
      <c r="K6">
        <v>345600</v>
      </c>
      <c r="L6">
        <v>413533</v>
      </c>
    </row>
    <row r="7" spans="1:12" x14ac:dyDescent="0.3">
      <c r="A7" t="s">
        <v>15</v>
      </c>
      <c r="B7">
        <v>4200</v>
      </c>
      <c r="C7">
        <v>35000</v>
      </c>
      <c r="D7">
        <f t="shared" si="0"/>
        <v>245000</v>
      </c>
      <c r="E7">
        <v>13</v>
      </c>
      <c r="F7">
        <v>12</v>
      </c>
      <c r="G7">
        <v>23</v>
      </c>
      <c r="H7">
        <v>16.5</v>
      </c>
      <c r="I7">
        <v>82.2</v>
      </c>
      <c r="J7">
        <v>7.4</v>
      </c>
      <c r="L7">
        <v>633007</v>
      </c>
    </row>
    <row r="8" spans="1:12" x14ac:dyDescent="0.3">
      <c r="A8" t="s">
        <v>16</v>
      </c>
      <c r="B8">
        <v>7500</v>
      </c>
      <c r="C8">
        <v>55000</v>
      </c>
      <c r="D8">
        <f t="shared" si="0"/>
        <v>385000</v>
      </c>
      <c r="E8">
        <v>12.5</v>
      </c>
      <c r="F8">
        <v>12</v>
      </c>
      <c r="G8">
        <v>22</v>
      </c>
      <c r="H8">
        <v>17</v>
      </c>
      <c r="I8">
        <v>126.9</v>
      </c>
      <c r="J8">
        <v>10</v>
      </c>
      <c r="L8">
        <v>1035376</v>
      </c>
    </row>
    <row r="11" spans="1:12" x14ac:dyDescent="0.3">
      <c r="B11" t="s">
        <v>17</v>
      </c>
      <c r="C11">
        <f>SLOPE(C3:C8,$B$3:$B$8)</f>
        <v>7.1488452748716664</v>
      </c>
      <c r="D11">
        <f>SLOPE(D5:D8,$B$5:$B$8)</f>
        <v>48.527750083084079</v>
      </c>
      <c r="I11">
        <f>SLOPE(I5:I8,$B$5:$B$8)</f>
        <v>1.2299767364572948E-2</v>
      </c>
      <c r="J11">
        <f>SLOPE(J5:J8,$B$5:$B$8)</f>
        <v>9.5147889664340315E-4</v>
      </c>
    </row>
    <row r="12" spans="1:12" x14ac:dyDescent="0.3">
      <c r="B12" t="s">
        <v>18</v>
      </c>
      <c r="C12">
        <f>INTERCEPT(C5:C8,$B$5:$B$8)</f>
        <v>3983.0508474576272</v>
      </c>
      <c r="D12">
        <f>INTERCEPT(D5:D8,$B$5:$B$8)</f>
        <v>27881.355932203383</v>
      </c>
      <c r="I12">
        <f>INTERCEPT(I3:I8,$B$3:$B$8)</f>
        <v>20.106504587893468</v>
      </c>
      <c r="J12">
        <f>INTERCEPT(J5:J8,$B$5:$B$8)</f>
        <v>3.0355932203389835</v>
      </c>
    </row>
    <row r="39" spans="7:7" x14ac:dyDescent="0.3">
      <c r="G39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838F-D2FA-4F8F-8009-1476D5076243}">
  <dimension ref="A1:J26"/>
  <sheetViews>
    <sheetView workbookViewId="0">
      <selection activeCell="H17" sqref="H17"/>
    </sheetView>
  </sheetViews>
  <sheetFormatPr defaultRowHeight="14.4" x14ac:dyDescent="0.3"/>
  <cols>
    <col min="1" max="1" width="47.5546875" bestFit="1" customWidth="1"/>
    <col min="2" max="2" width="10.6640625" bestFit="1" customWidth="1"/>
    <col min="3" max="3" width="11.88671875" bestFit="1" customWidth="1"/>
    <col min="4" max="5" width="12" bestFit="1" customWidth="1"/>
  </cols>
  <sheetData>
    <row r="1" spans="1:9" x14ac:dyDescent="0.3">
      <c r="A1" t="s">
        <v>210</v>
      </c>
      <c r="C1">
        <v>1</v>
      </c>
      <c r="D1">
        <v>2</v>
      </c>
      <c r="E1">
        <v>3</v>
      </c>
      <c r="F1">
        <v>4</v>
      </c>
      <c r="H1" t="s">
        <v>17</v>
      </c>
      <c r="I1" t="s">
        <v>18</v>
      </c>
    </row>
    <row r="2" spans="1:9" x14ac:dyDescent="0.3">
      <c r="A2" t="s">
        <v>211</v>
      </c>
      <c r="B2" t="s">
        <v>212</v>
      </c>
    </row>
    <row r="3" spans="1:9" x14ac:dyDescent="0.3">
      <c r="A3" t="s">
        <v>213</v>
      </c>
      <c r="B3" t="s">
        <v>216</v>
      </c>
      <c r="C3">
        <v>1500</v>
      </c>
      <c r="D3">
        <v>3000</v>
      </c>
      <c r="E3">
        <v>5000</v>
      </c>
      <c r="F3">
        <v>10000</v>
      </c>
    </row>
    <row r="4" spans="1:9" x14ac:dyDescent="0.3">
      <c r="A4" t="s">
        <v>214</v>
      </c>
      <c r="B4" t="s">
        <v>215</v>
      </c>
      <c r="C4">
        <v>51923</v>
      </c>
      <c r="D4">
        <v>76923</v>
      </c>
      <c r="E4">
        <v>115384</v>
      </c>
      <c r="F4">
        <v>173076</v>
      </c>
      <c r="H4">
        <f>SLOPE(C4:F4,$C$3:$F$3)</f>
        <v>14.129693474962064</v>
      </c>
      <c r="I4">
        <f>INTERCEPT($C4:$F4,$C$3:$F$3)</f>
        <v>35444.244309559945</v>
      </c>
    </row>
    <row r="5" spans="1:9" x14ac:dyDescent="0.3">
      <c r="A5" t="s">
        <v>218</v>
      </c>
      <c r="B5" t="s">
        <v>217</v>
      </c>
      <c r="C5">
        <v>16.2</v>
      </c>
      <c r="D5">
        <v>18.899999999999999</v>
      </c>
      <c r="E5">
        <v>22.5</v>
      </c>
      <c r="F5">
        <v>26</v>
      </c>
      <c r="H5">
        <f t="shared" ref="H5:H14" si="0">SLOPE(C5:F5,$C$3:$F$3)</f>
        <v>1.1156297420333841E-3</v>
      </c>
      <c r="I5">
        <f t="shared" ref="I5:I14" si="1">INTERCEPT($C5:$F5,$C$3:$F$3)</f>
        <v>15.461305007587251</v>
      </c>
    </row>
    <row r="6" spans="1:9" x14ac:dyDescent="0.3">
      <c r="A6" t="s">
        <v>219</v>
      </c>
      <c r="B6" t="s">
        <v>256</v>
      </c>
      <c r="C6">
        <v>59</v>
      </c>
      <c r="D6">
        <v>72</v>
      </c>
      <c r="E6">
        <v>78</v>
      </c>
      <c r="F6">
        <v>100</v>
      </c>
      <c r="H6">
        <f t="shared" si="0"/>
        <v>4.5675265553869497E-3</v>
      </c>
      <c r="I6">
        <f t="shared" si="1"/>
        <v>54.983308042488616</v>
      </c>
    </row>
    <row r="7" spans="1:9" x14ac:dyDescent="0.3">
      <c r="A7" t="s">
        <v>220</v>
      </c>
      <c r="B7" t="s">
        <v>221</v>
      </c>
      <c r="C7">
        <v>3873</v>
      </c>
      <c r="D7">
        <v>5477</v>
      </c>
      <c r="E7">
        <v>7071</v>
      </c>
      <c r="F7">
        <v>10000</v>
      </c>
      <c r="H7">
        <f t="shared" si="0"/>
        <v>0.69907435508345983</v>
      </c>
      <c r="I7">
        <f t="shared" si="1"/>
        <v>3197.2625189681335</v>
      </c>
    </row>
    <row r="8" spans="1:9" x14ac:dyDescent="0.3">
      <c r="A8" t="s">
        <v>223</v>
      </c>
      <c r="B8" t="s">
        <v>222</v>
      </c>
      <c r="C8">
        <v>500</v>
      </c>
      <c r="D8">
        <v>1000</v>
      </c>
      <c r="E8">
        <v>1666</v>
      </c>
      <c r="F8">
        <v>3333</v>
      </c>
      <c r="H8">
        <f t="shared" si="0"/>
        <v>0.33328983308042487</v>
      </c>
      <c r="I8">
        <f t="shared" si="1"/>
        <v>-3.7936267071245311E-2</v>
      </c>
    </row>
    <row r="9" spans="1:9" x14ac:dyDescent="0.3">
      <c r="A9" t="s">
        <v>224</v>
      </c>
      <c r="B9" t="s">
        <v>225</v>
      </c>
      <c r="C9">
        <v>4</v>
      </c>
      <c r="D9">
        <v>4</v>
      </c>
      <c r="E9">
        <v>4</v>
      </c>
      <c r="F9">
        <v>4</v>
      </c>
      <c r="H9">
        <f t="shared" si="0"/>
        <v>0</v>
      </c>
      <c r="I9">
        <f t="shared" si="1"/>
        <v>4</v>
      </c>
    </row>
    <row r="10" spans="1:9" x14ac:dyDescent="0.3">
      <c r="A10" t="s">
        <v>227</v>
      </c>
      <c r="B10" t="s">
        <v>226</v>
      </c>
      <c r="C10">
        <v>2.5000000000000001E-2</v>
      </c>
      <c r="D10">
        <v>1.1764705882352941E-2</v>
      </c>
      <c r="E10">
        <v>1.0526315789473684E-2</v>
      </c>
      <c r="F10">
        <v>8.3333333333333332E-3</v>
      </c>
      <c r="H10">
        <f t="shared" si="0"/>
        <v>-1.5152582876453833E-6</v>
      </c>
      <c r="I10">
        <f t="shared" si="1"/>
        <v>2.1292972903561233E-2</v>
      </c>
    </row>
    <row r="11" spans="1:9" x14ac:dyDescent="0.3">
      <c r="A11" t="s">
        <v>228</v>
      </c>
      <c r="C11">
        <v>20</v>
      </c>
      <c r="D11">
        <v>20</v>
      </c>
      <c r="E11">
        <v>20</v>
      </c>
      <c r="F11">
        <v>20</v>
      </c>
      <c r="H11">
        <f t="shared" si="0"/>
        <v>0</v>
      </c>
      <c r="I11">
        <f t="shared" si="1"/>
        <v>20</v>
      </c>
    </row>
    <row r="12" spans="1:9" x14ac:dyDescent="0.3">
      <c r="A12" t="s">
        <v>229</v>
      </c>
      <c r="B12" t="s">
        <v>215</v>
      </c>
      <c r="C12">
        <v>52500</v>
      </c>
      <c r="D12">
        <v>77000</v>
      </c>
      <c r="E12">
        <v>98000</v>
      </c>
      <c r="F12">
        <v>140000</v>
      </c>
      <c r="H12">
        <f t="shared" si="0"/>
        <v>9.9104704097116851</v>
      </c>
      <c r="I12">
        <f t="shared" si="1"/>
        <v>43561.456752655533</v>
      </c>
    </row>
    <row r="13" spans="1:9" x14ac:dyDescent="0.3">
      <c r="A13" t="s">
        <v>230</v>
      </c>
      <c r="C13">
        <v>30</v>
      </c>
      <c r="D13">
        <v>30</v>
      </c>
      <c r="E13">
        <v>30</v>
      </c>
      <c r="F13">
        <v>30</v>
      </c>
      <c r="H13">
        <f t="shared" si="0"/>
        <v>0</v>
      </c>
      <c r="I13">
        <f t="shared" si="1"/>
        <v>30</v>
      </c>
    </row>
    <row r="14" spans="1:9" x14ac:dyDescent="0.3">
      <c r="A14" t="s">
        <v>231</v>
      </c>
      <c r="B14" t="s">
        <v>215</v>
      </c>
      <c r="C14">
        <v>66500</v>
      </c>
      <c r="D14">
        <v>94500</v>
      </c>
      <c r="E14">
        <v>122500</v>
      </c>
      <c r="F14">
        <v>175000</v>
      </c>
      <c r="H14">
        <f t="shared" si="0"/>
        <v>12.396054628224583</v>
      </c>
      <c r="I14">
        <f t="shared" si="1"/>
        <v>54194.233687405162</v>
      </c>
    </row>
    <row r="17" spans="1:10" x14ac:dyDescent="0.3">
      <c r="E17" t="s">
        <v>259</v>
      </c>
      <c r="F17">
        <v>468.45</v>
      </c>
    </row>
    <row r="18" spans="1:10" x14ac:dyDescent="0.3">
      <c r="E18" t="s">
        <v>258</v>
      </c>
      <c r="J18" t="s">
        <v>258</v>
      </c>
    </row>
    <row r="19" spans="1:10" x14ac:dyDescent="0.3">
      <c r="D19" t="s">
        <v>254</v>
      </c>
      <c r="E19" t="s">
        <v>255</v>
      </c>
      <c r="F19" t="s">
        <v>254</v>
      </c>
      <c r="G19" t="s">
        <v>254</v>
      </c>
      <c r="H19" t="s">
        <v>254</v>
      </c>
      <c r="I19" t="s">
        <v>254</v>
      </c>
      <c r="J19" t="s">
        <v>255</v>
      </c>
    </row>
    <row r="20" spans="1:10" x14ac:dyDescent="0.3">
      <c r="C20" t="s">
        <v>17</v>
      </c>
      <c r="D20">
        <v>50</v>
      </c>
      <c r="E20">
        <v>15</v>
      </c>
      <c r="F20">
        <v>1.2299767364572948E-2</v>
      </c>
      <c r="G20">
        <v>9.5147889664340315E-4</v>
      </c>
      <c r="H20">
        <v>1.2299767364572948E-2</v>
      </c>
      <c r="I20">
        <v>9.5147889664340315E-4</v>
      </c>
      <c r="J20">
        <v>4.5675265553869497E-3</v>
      </c>
    </row>
    <row r="21" spans="1:10" x14ac:dyDescent="0.3">
      <c r="C21" t="s">
        <v>18</v>
      </c>
      <c r="D21">
        <v>28000</v>
      </c>
      <c r="E21">
        <v>36000</v>
      </c>
      <c r="F21">
        <v>20.106504587893468</v>
      </c>
      <c r="G21">
        <v>3.0355932203389835</v>
      </c>
      <c r="H21">
        <v>20.106504587893468</v>
      </c>
      <c r="I21">
        <v>3.0355932203389835</v>
      </c>
      <c r="J21">
        <v>55</v>
      </c>
    </row>
    <row r="22" spans="1:10" x14ac:dyDescent="0.3">
      <c r="A22" t="s">
        <v>246</v>
      </c>
      <c r="B22" t="s">
        <v>244</v>
      </c>
      <c r="C22" t="s">
        <v>245</v>
      </c>
      <c r="D22" t="s">
        <v>251</v>
      </c>
      <c r="F22" t="s">
        <v>253</v>
      </c>
      <c r="G22" t="s">
        <v>252</v>
      </c>
      <c r="H22" t="s">
        <v>253</v>
      </c>
      <c r="I22" t="s">
        <v>252</v>
      </c>
      <c r="J22" t="s">
        <v>257</v>
      </c>
    </row>
    <row r="23" spans="1:10" x14ac:dyDescent="0.3">
      <c r="A23" t="s">
        <v>247</v>
      </c>
      <c r="B23">
        <v>3000</v>
      </c>
      <c r="C23">
        <v>1500</v>
      </c>
      <c r="D23">
        <f>D$21+(D$20*$C23)</f>
        <v>103000</v>
      </c>
      <c r="E23">
        <f>E$21+(E$20*$C23)</f>
        <v>58500</v>
      </c>
      <c r="F23">
        <f>MROUND((F$21+(F$20*$C23)),100)</f>
        <v>0</v>
      </c>
      <c r="G23">
        <f>MROUND((G$21+(G$20*$C23))*7*$F$17,100)</f>
        <v>14600</v>
      </c>
      <c r="H23">
        <f>(H$21+(H$20*$C23))</f>
        <v>38.556155634752891</v>
      </c>
      <c r="I23">
        <f>MROUND(I$21+(I$20*$C23)*7*$F$17,10)</f>
        <v>4680</v>
      </c>
      <c r="J23">
        <f>MROUND((J$21+(J$20*$C23))*7*200,5)</f>
        <v>86590</v>
      </c>
    </row>
    <row r="24" spans="1:10" x14ac:dyDescent="0.3">
      <c r="A24" t="s">
        <v>248</v>
      </c>
      <c r="B24">
        <v>8500</v>
      </c>
      <c r="C24">
        <v>5000</v>
      </c>
      <c r="D24">
        <f t="shared" ref="D24:E26" si="2">D$21+(D$20*$C24)</f>
        <v>278000</v>
      </c>
      <c r="E24">
        <f t="shared" si="2"/>
        <v>111000</v>
      </c>
      <c r="F24">
        <f t="shared" ref="F24:G26" si="3">MROUND((F$21+(F$20*$C24))*7*$F$17,100)</f>
        <v>267600</v>
      </c>
      <c r="G24">
        <f t="shared" si="3"/>
        <v>25600</v>
      </c>
      <c r="H24">
        <f t="shared" ref="H24:I26" si="4">H$21+(H$20*$C24)*7</f>
        <v>450.59836234794665</v>
      </c>
      <c r="I24">
        <f t="shared" si="4"/>
        <v>36.337354602858092</v>
      </c>
      <c r="J24">
        <f>MROUND((J$21+(J$20*$C24))*7*200,5)</f>
        <v>108975</v>
      </c>
    </row>
    <row r="25" spans="1:10" x14ac:dyDescent="0.3">
      <c r="A25" t="s">
        <v>249</v>
      </c>
      <c r="B25">
        <v>14000</v>
      </c>
      <c r="C25">
        <v>10000</v>
      </c>
      <c r="D25">
        <f t="shared" si="2"/>
        <v>528000</v>
      </c>
      <c r="E25">
        <f t="shared" si="2"/>
        <v>186000</v>
      </c>
      <c r="F25">
        <f t="shared" si="3"/>
        <v>469300</v>
      </c>
      <c r="G25">
        <f t="shared" si="3"/>
        <v>41200</v>
      </c>
      <c r="H25">
        <f t="shared" si="4"/>
        <v>881.09022010799981</v>
      </c>
      <c r="I25">
        <f t="shared" si="4"/>
        <v>69.639115985377202</v>
      </c>
      <c r="J25">
        <f>MROUND((J$21+(J$20*$C25))*7*200,5)</f>
        <v>140945</v>
      </c>
    </row>
    <row r="26" spans="1:10" x14ac:dyDescent="0.3">
      <c r="A26" t="s">
        <v>250</v>
      </c>
      <c r="B26">
        <v>25000</v>
      </c>
      <c r="C26">
        <v>18000</v>
      </c>
      <c r="D26">
        <f t="shared" si="2"/>
        <v>928000</v>
      </c>
      <c r="E26">
        <f t="shared" si="2"/>
        <v>306000</v>
      </c>
      <c r="F26">
        <f t="shared" si="3"/>
        <v>791900</v>
      </c>
      <c r="G26">
        <f t="shared" si="3"/>
        <v>66100</v>
      </c>
      <c r="H26">
        <f t="shared" si="4"/>
        <v>1569.8771925240849</v>
      </c>
      <c r="I26">
        <f t="shared" si="4"/>
        <v>122.92193419740777</v>
      </c>
      <c r="J26">
        <f>MROUND((J$21+(J$20*$C26))*7*200,5)</f>
        <v>192100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95F0-AA0B-41B8-B251-CDD695CA2B0C}">
  <dimension ref="A1:R126"/>
  <sheetViews>
    <sheetView tabSelected="1" topLeftCell="A75" zoomScale="85" zoomScaleNormal="85" workbookViewId="0">
      <selection activeCell="I93" sqref="I93"/>
    </sheetView>
  </sheetViews>
  <sheetFormatPr defaultRowHeight="14.4" x14ac:dyDescent="0.3"/>
  <cols>
    <col min="1" max="1" width="11.77734375" customWidth="1"/>
    <col min="2" max="2" width="17.33203125" customWidth="1"/>
    <col min="3" max="3" width="17.6640625" customWidth="1"/>
    <col min="5" max="5" width="9.77734375" customWidth="1"/>
    <col min="6" max="6" width="17.88671875" customWidth="1"/>
    <col min="7" max="7" width="11.109375" customWidth="1"/>
    <col min="8" max="8" width="11.5546875" customWidth="1"/>
    <col min="9" max="9" width="11.44140625" customWidth="1"/>
    <col min="11" max="11" width="14.33203125" customWidth="1"/>
    <col min="12" max="12" width="14.33203125" bestFit="1" customWidth="1"/>
    <col min="13" max="13" width="18.88671875" bestFit="1" customWidth="1"/>
    <col min="14" max="14" width="19.109375" bestFit="1" customWidth="1"/>
    <col min="15" max="15" width="16" customWidth="1"/>
    <col min="16" max="16" width="19.21875" customWidth="1"/>
    <col min="17" max="17" width="15.21875" customWidth="1"/>
  </cols>
  <sheetData>
    <row r="1" spans="1:18" x14ac:dyDescent="0.3">
      <c r="A1" t="s">
        <v>21</v>
      </c>
      <c r="B1" t="s">
        <v>205</v>
      </c>
      <c r="C1" t="s">
        <v>240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176</v>
      </c>
      <c r="Q1" t="s">
        <v>203</v>
      </c>
      <c r="R1" t="s">
        <v>204</v>
      </c>
    </row>
    <row r="2" spans="1:18" x14ac:dyDescent="0.3">
      <c r="A2" t="s">
        <v>137</v>
      </c>
      <c r="C2" t="str">
        <f>IF(ISBLANK(Table1[[#This Row],[Converted]]),Table1[[#This Row],[UNLocode]],Table1[[#This Row],[Converted]])</f>
        <v>BDCGP</v>
      </c>
      <c r="D2" t="s">
        <v>138</v>
      </c>
      <c r="E2" t="s">
        <v>139</v>
      </c>
      <c r="F2" t="s">
        <v>140</v>
      </c>
      <c r="G2" t="s">
        <v>140</v>
      </c>
      <c r="H2" t="s">
        <v>42</v>
      </c>
      <c r="I2">
        <v>91.828100000000006</v>
      </c>
      <c r="J2">
        <v>22.328099999999999</v>
      </c>
      <c r="K2">
        <v>9.5</v>
      </c>
      <c r="L2">
        <v>104</v>
      </c>
      <c r="M2">
        <v>2</v>
      </c>
      <c r="N2">
        <v>7130</v>
      </c>
      <c r="O2">
        <v>39</v>
      </c>
      <c r="P2" t="b">
        <f t="shared" ref="P2:P33" si="0">OR(IFERROR(MATCH($A2,Sel_port,0)&gt;0,FALSE),IFERROR(MATCH($A2,Sel_port,0)&gt;0,FALSE))</f>
        <v>1</v>
      </c>
      <c r="Q2" t="b">
        <f t="shared" ref="Q2:Q33" si="1">IFERROR(MATCH(LEFT($A2,2),int_c,0)&gt;0,FALSE)</f>
        <v>1</v>
      </c>
      <c r="R2" t="b">
        <f t="shared" ref="R2:R33" si="2">OR(P2,Q2)</f>
        <v>1</v>
      </c>
    </row>
    <row r="3" spans="1:18" x14ac:dyDescent="0.3">
      <c r="A3" t="s">
        <v>48</v>
      </c>
      <c r="B3" t="s">
        <v>177</v>
      </c>
      <c r="C3" t="str">
        <f>IF(ISBLANK(Table1[[#This Row],[Converted]]),Table1[[#This Row],[UNLocode]],Table1[[#This Row],[Converted]])</f>
        <v>CNDCB</v>
      </c>
      <c r="D3" t="s">
        <v>49</v>
      </c>
      <c r="E3" t="s">
        <v>50</v>
      </c>
      <c r="F3" t="s">
        <v>51</v>
      </c>
      <c r="G3" t="s">
        <v>51</v>
      </c>
      <c r="H3" t="s">
        <v>52</v>
      </c>
      <c r="I3">
        <v>113.888909</v>
      </c>
      <c r="J3">
        <v>22.493137999999998</v>
      </c>
      <c r="K3">
        <v>13.5</v>
      </c>
      <c r="L3">
        <v>179</v>
      </c>
      <c r="M3">
        <v>62</v>
      </c>
      <c r="N3">
        <v>12047</v>
      </c>
      <c r="O3">
        <v>5</v>
      </c>
      <c r="P3" t="b">
        <f t="shared" si="0"/>
        <v>0</v>
      </c>
      <c r="Q3" t="b">
        <f t="shared" si="1"/>
        <v>1</v>
      </c>
      <c r="R3" t="b">
        <f t="shared" si="2"/>
        <v>1</v>
      </c>
    </row>
    <row r="4" spans="1:18" x14ac:dyDescent="0.3">
      <c r="A4" t="s">
        <v>95</v>
      </c>
      <c r="C4" t="str">
        <f>IF(ISBLANK(Table1[[#This Row],[Converted]]),Table1[[#This Row],[UNLocode]],Table1[[#This Row],[Converted]])</f>
        <v>CNDLC</v>
      </c>
      <c r="D4" t="s">
        <v>49</v>
      </c>
      <c r="E4" t="s">
        <v>96</v>
      </c>
      <c r="F4" t="s">
        <v>51</v>
      </c>
      <c r="G4" t="s">
        <v>51</v>
      </c>
      <c r="H4" t="s">
        <v>57</v>
      </c>
      <c r="I4">
        <v>121.64648699999999</v>
      </c>
      <c r="J4">
        <v>38.922060999999999</v>
      </c>
      <c r="K4">
        <v>12.5</v>
      </c>
      <c r="L4">
        <v>125</v>
      </c>
      <c r="M4">
        <v>74</v>
      </c>
      <c r="N4">
        <v>860</v>
      </c>
      <c r="O4">
        <v>8</v>
      </c>
      <c r="P4" t="b">
        <f t="shared" si="0"/>
        <v>1</v>
      </c>
      <c r="Q4" t="b">
        <f t="shared" si="1"/>
        <v>1</v>
      </c>
      <c r="R4" t="b">
        <f t="shared" si="2"/>
        <v>1</v>
      </c>
    </row>
    <row r="5" spans="1:18" x14ac:dyDescent="0.3">
      <c r="A5" t="s">
        <v>89</v>
      </c>
      <c r="C5" t="str">
        <f>IF(ISBLANK(Table1[[#This Row],[Converted]]),Table1[[#This Row],[UNLocode]],Table1[[#This Row],[Converted]])</f>
        <v>CNFOC</v>
      </c>
      <c r="D5" t="s">
        <v>49</v>
      </c>
      <c r="E5" t="s">
        <v>90</v>
      </c>
      <c r="F5" t="s">
        <v>51</v>
      </c>
      <c r="G5" t="s">
        <v>51</v>
      </c>
      <c r="H5" t="s">
        <v>60</v>
      </c>
      <c r="I5">
        <v>119.2968</v>
      </c>
      <c r="J5">
        <v>26.078099999999999</v>
      </c>
      <c r="K5">
        <v>12.5</v>
      </c>
      <c r="L5">
        <v>159</v>
      </c>
      <c r="M5">
        <v>62</v>
      </c>
      <c r="N5">
        <v>928</v>
      </c>
      <c r="O5">
        <v>6</v>
      </c>
      <c r="P5" t="b">
        <f t="shared" si="0"/>
        <v>1</v>
      </c>
      <c r="Q5" t="b">
        <f t="shared" si="1"/>
        <v>1</v>
      </c>
      <c r="R5" t="b">
        <f t="shared" si="2"/>
        <v>1</v>
      </c>
    </row>
    <row r="6" spans="1:18" x14ac:dyDescent="0.3">
      <c r="A6" t="s">
        <v>135</v>
      </c>
      <c r="B6" t="s">
        <v>208</v>
      </c>
      <c r="C6" t="str">
        <f>IF(ISBLANK(Table1[[#This Row],[Converted]]),Table1[[#This Row],[UNLocode]],Table1[[#This Row],[Converted]])</f>
        <v>-</v>
      </c>
      <c r="D6" t="s">
        <v>49</v>
      </c>
      <c r="E6" t="s">
        <v>136</v>
      </c>
      <c r="F6" t="s">
        <v>51</v>
      </c>
      <c r="G6" t="s">
        <v>51</v>
      </c>
      <c r="H6" t="s">
        <v>52</v>
      </c>
      <c r="I6">
        <v>113.3125</v>
      </c>
      <c r="J6">
        <v>22.6875</v>
      </c>
      <c r="K6">
        <v>9.5</v>
      </c>
      <c r="L6">
        <v>127</v>
      </c>
      <c r="M6">
        <v>87</v>
      </c>
      <c r="N6">
        <v>16218</v>
      </c>
      <c r="O6">
        <v>6</v>
      </c>
      <c r="P6" t="b">
        <f t="shared" si="0"/>
        <v>0</v>
      </c>
      <c r="Q6" t="b">
        <f t="shared" si="1"/>
        <v>1</v>
      </c>
      <c r="R6" t="b">
        <f t="shared" si="2"/>
        <v>1</v>
      </c>
    </row>
    <row r="7" spans="1:18" x14ac:dyDescent="0.3">
      <c r="A7" t="s">
        <v>68</v>
      </c>
      <c r="C7" t="str">
        <f>IF(ISBLANK(Table1[[#This Row],[Converted]]),Table1[[#This Row],[UNLocode]],Table1[[#This Row],[Converted]])</f>
        <v>CNLYG</v>
      </c>
      <c r="D7" t="s">
        <v>49</v>
      </c>
      <c r="E7" t="s">
        <v>69</v>
      </c>
      <c r="F7" t="s">
        <v>51</v>
      </c>
      <c r="G7" t="s">
        <v>51</v>
      </c>
      <c r="H7" t="s">
        <v>57</v>
      </c>
      <c r="I7">
        <v>119.4375</v>
      </c>
      <c r="J7">
        <v>34.718699999999998</v>
      </c>
      <c r="K7">
        <v>13.5</v>
      </c>
      <c r="L7">
        <v>116</v>
      </c>
      <c r="M7">
        <v>60</v>
      </c>
      <c r="N7">
        <v>7962</v>
      </c>
      <c r="O7">
        <v>9</v>
      </c>
      <c r="P7" t="b">
        <f t="shared" si="0"/>
        <v>1</v>
      </c>
      <c r="Q7" t="b">
        <f t="shared" si="1"/>
        <v>1</v>
      </c>
      <c r="R7" t="b">
        <f t="shared" si="2"/>
        <v>1</v>
      </c>
    </row>
    <row r="8" spans="1:18" x14ac:dyDescent="0.3">
      <c r="A8" t="s">
        <v>66</v>
      </c>
      <c r="B8" t="s">
        <v>182</v>
      </c>
      <c r="C8" t="str">
        <f>IF(ISBLANK(Table1[[#This Row],[Converted]]),Table1[[#This Row],[UNLocode]],Table1[[#This Row],[Converted]])</f>
        <v>CNNBG</v>
      </c>
      <c r="D8" t="s">
        <v>49</v>
      </c>
      <c r="E8" t="s">
        <v>67</v>
      </c>
      <c r="F8" t="s">
        <v>51</v>
      </c>
      <c r="G8" t="s">
        <v>51</v>
      </c>
      <c r="H8" t="s">
        <v>60</v>
      </c>
      <c r="I8">
        <v>121.5468</v>
      </c>
      <c r="J8">
        <v>29.875</v>
      </c>
      <c r="K8">
        <v>13.5</v>
      </c>
      <c r="L8">
        <v>118</v>
      </c>
      <c r="M8">
        <v>36</v>
      </c>
      <c r="N8">
        <v>7275</v>
      </c>
      <c r="O8">
        <v>4</v>
      </c>
      <c r="P8" t="b">
        <f t="shared" si="0"/>
        <v>0</v>
      </c>
      <c r="Q8" t="b">
        <f t="shared" si="1"/>
        <v>1</v>
      </c>
      <c r="R8" t="b">
        <f t="shared" si="2"/>
        <v>1</v>
      </c>
    </row>
    <row r="9" spans="1:18" x14ac:dyDescent="0.3">
      <c r="A9" t="s">
        <v>93</v>
      </c>
      <c r="C9" t="str">
        <f>IF(ISBLANK(Table1[[#This Row],[Converted]]),Table1[[#This Row],[UNLocode]],Table1[[#This Row],[Converted]])</f>
        <v>CNNSA</v>
      </c>
      <c r="D9" t="s">
        <v>49</v>
      </c>
      <c r="E9" t="s">
        <v>94</v>
      </c>
      <c r="F9" t="s">
        <v>51</v>
      </c>
      <c r="G9" t="s">
        <v>51</v>
      </c>
      <c r="H9" t="s">
        <v>52</v>
      </c>
      <c r="I9">
        <v>113.572</v>
      </c>
      <c r="J9">
        <v>22.76</v>
      </c>
      <c r="K9">
        <v>12.5</v>
      </c>
      <c r="L9">
        <v>135</v>
      </c>
      <c r="M9">
        <v>91</v>
      </c>
      <c r="N9">
        <v>3573</v>
      </c>
      <c r="O9">
        <v>7</v>
      </c>
      <c r="P9" t="b">
        <f t="shared" si="0"/>
        <v>1</v>
      </c>
      <c r="Q9" t="b">
        <f t="shared" si="1"/>
        <v>1</v>
      </c>
      <c r="R9" t="b">
        <f t="shared" si="2"/>
        <v>1</v>
      </c>
    </row>
    <row r="10" spans="1:18" x14ac:dyDescent="0.3">
      <c r="A10" t="s">
        <v>58</v>
      </c>
      <c r="B10" t="s">
        <v>183</v>
      </c>
      <c r="C10" t="str">
        <f>IF(ISBLANK(Table1[[#This Row],[Converted]]),Table1[[#This Row],[UNLocode]],Table1[[#This Row],[Converted]])</f>
        <v>CNSHG</v>
      </c>
      <c r="D10" t="s">
        <v>49</v>
      </c>
      <c r="E10" t="s">
        <v>59</v>
      </c>
      <c r="F10" t="s">
        <v>51</v>
      </c>
      <c r="G10" t="s">
        <v>51</v>
      </c>
      <c r="H10" t="s">
        <v>60</v>
      </c>
      <c r="I10">
        <v>121.45310000000001</v>
      </c>
      <c r="J10">
        <v>31.218699999999998</v>
      </c>
      <c r="K10">
        <v>13.5</v>
      </c>
      <c r="L10">
        <v>150</v>
      </c>
      <c r="M10">
        <v>62</v>
      </c>
      <c r="N10">
        <v>6497</v>
      </c>
      <c r="O10">
        <v>6</v>
      </c>
      <c r="P10" t="b">
        <f t="shared" si="0"/>
        <v>0</v>
      </c>
      <c r="Q10" t="b">
        <f t="shared" si="1"/>
        <v>1</v>
      </c>
      <c r="R10" t="b">
        <f t="shared" si="2"/>
        <v>1</v>
      </c>
    </row>
    <row r="11" spans="1:18" x14ac:dyDescent="0.3">
      <c r="A11" t="s">
        <v>109</v>
      </c>
      <c r="C11" t="str">
        <f>IF(ISBLANK(Table1[[#This Row],[Converted]]),Table1[[#This Row],[UNLocode]],Table1[[#This Row],[Converted]])</f>
        <v>CNSHK</v>
      </c>
      <c r="D11" t="s">
        <v>49</v>
      </c>
      <c r="E11" t="s">
        <v>110</v>
      </c>
      <c r="F11" t="s">
        <v>51</v>
      </c>
      <c r="G11" t="s">
        <v>51</v>
      </c>
      <c r="H11" t="s">
        <v>52</v>
      </c>
      <c r="I11">
        <v>113.875</v>
      </c>
      <c r="J11">
        <v>22.5</v>
      </c>
      <c r="K11">
        <v>11</v>
      </c>
      <c r="L11">
        <v>213</v>
      </c>
      <c r="M11">
        <v>79</v>
      </c>
      <c r="N11">
        <v>11193</v>
      </c>
      <c r="O11">
        <v>6</v>
      </c>
      <c r="P11" t="b">
        <f t="shared" si="0"/>
        <v>1</v>
      </c>
      <c r="Q11" t="b">
        <f t="shared" si="1"/>
        <v>1</v>
      </c>
      <c r="R11" t="b">
        <f t="shared" si="2"/>
        <v>1</v>
      </c>
    </row>
    <row r="12" spans="1:18" x14ac:dyDescent="0.3">
      <c r="A12" t="s">
        <v>97</v>
      </c>
      <c r="B12" t="s">
        <v>181</v>
      </c>
      <c r="C12" t="str">
        <f>IF(ISBLANK(Table1[[#This Row],[Converted]]),Table1[[#This Row],[UNLocode]],Table1[[#This Row],[Converted]])</f>
        <v>CNQDG</v>
      </c>
      <c r="D12" t="s">
        <v>49</v>
      </c>
      <c r="E12" t="s">
        <v>98</v>
      </c>
      <c r="F12" t="s">
        <v>51</v>
      </c>
      <c r="G12" t="s">
        <v>51</v>
      </c>
      <c r="H12" t="s">
        <v>57</v>
      </c>
      <c r="I12">
        <v>120.35</v>
      </c>
      <c r="J12">
        <v>36.083329999999997</v>
      </c>
      <c r="K12">
        <v>12.5</v>
      </c>
      <c r="L12">
        <v>124</v>
      </c>
      <c r="M12">
        <v>25</v>
      </c>
      <c r="N12">
        <v>6813</v>
      </c>
      <c r="O12">
        <v>5</v>
      </c>
      <c r="P12" t="b">
        <f t="shared" si="0"/>
        <v>0</v>
      </c>
      <c r="Q12" t="b">
        <f t="shared" si="1"/>
        <v>1</v>
      </c>
      <c r="R12" t="b">
        <f t="shared" si="2"/>
        <v>1</v>
      </c>
    </row>
    <row r="13" spans="1:18" x14ac:dyDescent="0.3">
      <c r="A13" t="s">
        <v>55</v>
      </c>
      <c r="C13" t="str">
        <f>IF(ISBLANK(Table1[[#This Row],[Converted]]),Table1[[#This Row],[UNLocode]],Table1[[#This Row],[Converted]])</f>
        <v>CNTXG</v>
      </c>
      <c r="D13" t="s">
        <v>49</v>
      </c>
      <c r="E13" t="s">
        <v>56</v>
      </c>
      <c r="F13" t="s">
        <v>51</v>
      </c>
      <c r="G13" t="s">
        <v>51</v>
      </c>
      <c r="H13" t="s">
        <v>57</v>
      </c>
      <c r="I13">
        <v>117.56</v>
      </c>
      <c r="J13">
        <v>38.561999999999998</v>
      </c>
      <c r="K13">
        <v>13.5</v>
      </c>
      <c r="L13">
        <v>172</v>
      </c>
      <c r="M13">
        <v>49</v>
      </c>
      <c r="N13">
        <v>5922</v>
      </c>
      <c r="O13">
        <v>4</v>
      </c>
      <c r="P13" t="b">
        <f t="shared" si="0"/>
        <v>1</v>
      </c>
      <c r="Q13" t="b">
        <f t="shared" si="1"/>
        <v>1</v>
      </c>
      <c r="R13" t="b">
        <f t="shared" si="2"/>
        <v>1</v>
      </c>
    </row>
    <row r="14" spans="1:18" x14ac:dyDescent="0.3">
      <c r="A14" t="s">
        <v>99</v>
      </c>
      <c r="B14" t="s">
        <v>180</v>
      </c>
      <c r="C14" t="str">
        <f>IF(ISBLANK(Table1[[#This Row],[Converted]]),Table1[[#This Row],[UNLocode]],Table1[[#This Row],[Converted]])</f>
        <v>CNXMG</v>
      </c>
      <c r="D14" t="s">
        <v>49</v>
      </c>
      <c r="E14" t="s">
        <v>100</v>
      </c>
      <c r="F14" t="s">
        <v>51</v>
      </c>
      <c r="G14" t="s">
        <v>51</v>
      </c>
      <c r="H14" t="s">
        <v>52</v>
      </c>
      <c r="I14">
        <v>118.08</v>
      </c>
      <c r="J14">
        <v>24.45</v>
      </c>
      <c r="K14">
        <v>12.5</v>
      </c>
      <c r="L14">
        <v>108</v>
      </c>
      <c r="M14">
        <v>57</v>
      </c>
      <c r="N14">
        <v>5267</v>
      </c>
      <c r="O14">
        <v>4</v>
      </c>
      <c r="P14" t="b">
        <f t="shared" si="0"/>
        <v>0</v>
      </c>
      <c r="Q14" t="b">
        <f t="shared" si="1"/>
        <v>1</v>
      </c>
      <c r="R14" t="b">
        <f t="shared" si="2"/>
        <v>1</v>
      </c>
    </row>
    <row r="15" spans="1:18" x14ac:dyDescent="0.3">
      <c r="A15" t="s">
        <v>53</v>
      </c>
      <c r="C15" t="str">
        <f>IF(ISBLANK(Table1[[#This Row],[Converted]]),Table1[[#This Row],[UNLocode]],Table1[[#This Row],[Converted]])</f>
        <v>CNYTN</v>
      </c>
      <c r="D15" t="s">
        <v>49</v>
      </c>
      <c r="E15" t="s">
        <v>54</v>
      </c>
      <c r="F15" t="s">
        <v>51</v>
      </c>
      <c r="G15" t="s">
        <v>51</v>
      </c>
      <c r="H15" t="s">
        <v>52</v>
      </c>
      <c r="I15">
        <v>114.26667</v>
      </c>
      <c r="J15">
        <v>22.58333</v>
      </c>
      <c r="K15">
        <v>13.5</v>
      </c>
      <c r="L15">
        <v>177</v>
      </c>
      <c r="M15">
        <v>78</v>
      </c>
      <c r="N15">
        <v>7220</v>
      </c>
      <c r="O15">
        <v>4</v>
      </c>
      <c r="P15" t="b">
        <f t="shared" si="0"/>
        <v>1</v>
      </c>
      <c r="Q15" t="b">
        <f t="shared" si="1"/>
        <v>1</v>
      </c>
      <c r="R15" t="b">
        <f t="shared" si="2"/>
        <v>1</v>
      </c>
    </row>
    <row r="16" spans="1:18" x14ac:dyDescent="0.3">
      <c r="A16" t="s">
        <v>43</v>
      </c>
      <c r="C16" t="str">
        <f>IF(ISBLANK(Table1[[#This Row],[Converted]]),Table1[[#This Row],[UNLocode]],Table1[[#This Row],[Converted]])</f>
        <v>HKHKG</v>
      </c>
      <c r="D16" t="s">
        <v>44</v>
      </c>
      <c r="E16" t="s">
        <v>45</v>
      </c>
      <c r="F16" t="s">
        <v>45</v>
      </c>
      <c r="G16" t="s">
        <v>45</v>
      </c>
      <c r="H16" t="s">
        <v>45</v>
      </c>
      <c r="I16">
        <v>114.20037600000001</v>
      </c>
      <c r="J16">
        <v>22.320135000000001</v>
      </c>
      <c r="K16">
        <v>13.5</v>
      </c>
      <c r="L16">
        <v>257</v>
      </c>
      <c r="M16">
        <v>93</v>
      </c>
      <c r="N16">
        <v>6809</v>
      </c>
      <c r="O16">
        <v>2</v>
      </c>
      <c r="P16" t="b">
        <f t="shared" si="0"/>
        <v>1</v>
      </c>
      <c r="Q16" t="b">
        <f t="shared" si="1"/>
        <v>1</v>
      </c>
      <c r="R16" t="b">
        <f t="shared" si="2"/>
        <v>1</v>
      </c>
    </row>
    <row r="17" spans="1:18" x14ac:dyDescent="0.3">
      <c r="A17" t="s">
        <v>163</v>
      </c>
      <c r="C17" t="str">
        <f>IF(ISBLANK(Table1[[#This Row],[Converted]]),Table1[[#This Row],[UNLocode]],Table1[[#This Row],[Converted]])</f>
        <v>IDJKT</v>
      </c>
      <c r="D17" t="s">
        <v>124</v>
      </c>
      <c r="E17" t="s">
        <v>164</v>
      </c>
      <c r="F17" t="s">
        <v>126</v>
      </c>
      <c r="G17" t="s">
        <v>126</v>
      </c>
      <c r="H17" t="s">
        <v>65</v>
      </c>
      <c r="I17">
        <v>106.8</v>
      </c>
      <c r="J17">
        <v>-6.1666999999999996</v>
      </c>
      <c r="K17">
        <v>8</v>
      </c>
      <c r="L17">
        <v>135</v>
      </c>
      <c r="M17">
        <v>62</v>
      </c>
      <c r="N17">
        <v>2999</v>
      </c>
      <c r="O17">
        <v>7</v>
      </c>
      <c r="P17" t="b">
        <f t="shared" si="0"/>
        <v>1</v>
      </c>
      <c r="Q17" t="b">
        <f t="shared" si="1"/>
        <v>1</v>
      </c>
      <c r="R17" t="b">
        <f t="shared" si="2"/>
        <v>1</v>
      </c>
    </row>
    <row r="18" spans="1:18" x14ac:dyDescent="0.3">
      <c r="A18" t="s">
        <v>133</v>
      </c>
      <c r="C18" t="str">
        <f>IF(ISBLANK(Table1[[#This Row],[Converted]]),Table1[[#This Row],[UNLocode]],Table1[[#This Row],[Converted]])</f>
        <v>IDSRG</v>
      </c>
      <c r="D18" t="s">
        <v>124</v>
      </c>
      <c r="E18" t="s">
        <v>134</v>
      </c>
      <c r="F18" t="s">
        <v>126</v>
      </c>
      <c r="G18" t="s">
        <v>126</v>
      </c>
      <c r="H18" t="s">
        <v>65</v>
      </c>
      <c r="I18">
        <v>110.423953</v>
      </c>
      <c r="J18">
        <v>-6.9749970000000001</v>
      </c>
      <c r="K18">
        <v>9.5</v>
      </c>
      <c r="L18">
        <v>134</v>
      </c>
      <c r="M18">
        <v>81</v>
      </c>
      <c r="N18">
        <v>2926</v>
      </c>
      <c r="O18">
        <v>10</v>
      </c>
      <c r="P18" t="b">
        <f t="shared" si="0"/>
        <v>1</v>
      </c>
      <c r="Q18" t="b">
        <f t="shared" si="1"/>
        <v>1</v>
      </c>
      <c r="R18" t="b">
        <f t="shared" si="2"/>
        <v>1</v>
      </c>
    </row>
    <row r="19" spans="1:18" x14ac:dyDescent="0.3">
      <c r="A19" t="s">
        <v>123</v>
      </c>
      <c r="C19" t="str">
        <f>IF(ISBLANK(Table1[[#This Row],[Converted]]),Table1[[#This Row],[UNLocode]],Table1[[#This Row],[Converted]])</f>
        <v>IDSUB</v>
      </c>
      <c r="D19" t="s">
        <v>124</v>
      </c>
      <c r="E19" t="s">
        <v>125</v>
      </c>
      <c r="F19" t="s">
        <v>126</v>
      </c>
      <c r="G19" t="s">
        <v>126</v>
      </c>
      <c r="H19" t="s">
        <v>65</v>
      </c>
      <c r="I19">
        <v>112.75</v>
      </c>
      <c r="J19">
        <v>-7.25</v>
      </c>
      <c r="K19">
        <v>9.5</v>
      </c>
      <c r="L19">
        <v>185</v>
      </c>
      <c r="M19">
        <v>3</v>
      </c>
      <c r="N19">
        <v>884</v>
      </c>
      <c r="O19">
        <v>5</v>
      </c>
      <c r="P19" t="b">
        <f t="shared" si="0"/>
        <v>1</v>
      </c>
      <c r="Q19" t="b">
        <f t="shared" si="1"/>
        <v>1</v>
      </c>
      <c r="R19" t="b">
        <f t="shared" si="2"/>
        <v>1</v>
      </c>
    </row>
    <row r="20" spans="1:18" x14ac:dyDescent="0.3">
      <c r="A20" t="s">
        <v>111</v>
      </c>
      <c r="C20" t="str">
        <f>IF(ISBLANK(Table1[[#This Row],[Converted]]),Table1[[#This Row],[UNLocode]],Table1[[#This Row],[Converted]])</f>
        <v>INCOK</v>
      </c>
      <c r="D20" t="s">
        <v>84</v>
      </c>
      <c r="E20" t="s">
        <v>112</v>
      </c>
      <c r="F20" t="s">
        <v>86</v>
      </c>
      <c r="G20" t="s">
        <v>86</v>
      </c>
      <c r="H20" t="s">
        <v>42</v>
      </c>
      <c r="I20">
        <v>76.236338000000003</v>
      </c>
      <c r="J20">
        <v>9.9876389999999997</v>
      </c>
      <c r="K20">
        <v>11</v>
      </c>
      <c r="L20">
        <v>166</v>
      </c>
      <c r="M20">
        <v>56</v>
      </c>
      <c r="N20">
        <v>7383</v>
      </c>
      <c r="O20">
        <v>3</v>
      </c>
      <c r="P20" t="b">
        <f t="shared" si="0"/>
        <v>1</v>
      </c>
      <c r="Q20" t="b">
        <f t="shared" si="1"/>
        <v>1</v>
      </c>
      <c r="R20" t="b">
        <f t="shared" si="2"/>
        <v>1</v>
      </c>
    </row>
    <row r="21" spans="1:18" x14ac:dyDescent="0.3">
      <c r="A21" t="s">
        <v>172</v>
      </c>
      <c r="B21" t="s">
        <v>167</v>
      </c>
      <c r="C21" t="str">
        <f>IF(ISBLANK(Table1[[#This Row],[Converted]]),Table1[[#This Row],[UNLocode]],Table1[[#This Row],[Converted]])</f>
        <v>INCCU</v>
      </c>
      <c r="D21" t="s">
        <v>84</v>
      </c>
      <c r="E21" t="s">
        <v>173</v>
      </c>
      <c r="F21" t="s">
        <v>86</v>
      </c>
      <c r="G21" t="s">
        <v>86</v>
      </c>
      <c r="H21" t="s">
        <v>42</v>
      </c>
      <c r="I21">
        <v>88.02</v>
      </c>
      <c r="J21">
        <v>22.02</v>
      </c>
      <c r="K21">
        <v>8</v>
      </c>
      <c r="L21">
        <v>21</v>
      </c>
      <c r="M21">
        <v>58</v>
      </c>
      <c r="N21">
        <v>6796</v>
      </c>
      <c r="O21">
        <v>38</v>
      </c>
      <c r="P21" t="b">
        <f t="shared" si="0"/>
        <v>0</v>
      </c>
      <c r="Q21" t="b">
        <f t="shared" si="1"/>
        <v>1</v>
      </c>
      <c r="R21" t="b">
        <f t="shared" si="2"/>
        <v>1</v>
      </c>
    </row>
    <row r="22" spans="1:18" x14ac:dyDescent="0.3">
      <c r="A22" t="s">
        <v>161</v>
      </c>
      <c r="B22" t="s">
        <v>187</v>
      </c>
      <c r="C22" t="str">
        <f>IF(ISBLANK(Table1[[#This Row],[Converted]]),Table1[[#This Row],[UNLocode]],Table1[[#This Row],[Converted]])</f>
        <v>INMUN</v>
      </c>
      <c r="D22" t="s">
        <v>84</v>
      </c>
      <c r="E22" t="s">
        <v>162</v>
      </c>
      <c r="F22" t="s">
        <v>86</v>
      </c>
      <c r="G22" t="s">
        <v>86</v>
      </c>
      <c r="H22" t="s">
        <v>42</v>
      </c>
      <c r="I22">
        <v>70.216660000000005</v>
      </c>
      <c r="J22">
        <v>23.031199999999998</v>
      </c>
      <c r="K22">
        <v>8</v>
      </c>
      <c r="L22">
        <v>187</v>
      </c>
      <c r="M22">
        <v>76</v>
      </c>
      <c r="N22">
        <v>7513</v>
      </c>
      <c r="O22">
        <v>38</v>
      </c>
      <c r="P22" t="b">
        <f t="shared" si="0"/>
        <v>0</v>
      </c>
      <c r="Q22" t="b">
        <f t="shared" si="1"/>
        <v>1</v>
      </c>
      <c r="R22" t="b">
        <f t="shared" si="2"/>
        <v>1</v>
      </c>
    </row>
    <row r="23" spans="1:18" x14ac:dyDescent="0.3">
      <c r="A23" t="s">
        <v>91</v>
      </c>
      <c r="C23" t="str">
        <f>IF(ISBLANK(Table1[[#This Row],[Converted]]),Table1[[#This Row],[UNLocode]],Table1[[#This Row],[Converted]])</f>
        <v>INMAA</v>
      </c>
      <c r="D23" t="s">
        <v>84</v>
      </c>
      <c r="E23" t="s">
        <v>92</v>
      </c>
      <c r="F23" t="s">
        <v>86</v>
      </c>
      <c r="G23" t="s">
        <v>86</v>
      </c>
      <c r="H23" t="s">
        <v>42</v>
      </c>
      <c r="I23">
        <v>80.180000000000007</v>
      </c>
      <c r="J23">
        <v>13.06</v>
      </c>
      <c r="K23">
        <v>12.5</v>
      </c>
      <c r="L23">
        <v>149</v>
      </c>
      <c r="M23">
        <v>160</v>
      </c>
      <c r="N23">
        <v>820</v>
      </c>
      <c r="O23">
        <v>9</v>
      </c>
      <c r="P23" t="b">
        <f t="shared" si="0"/>
        <v>1</v>
      </c>
      <c r="Q23" t="b">
        <f t="shared" si="1"/>
        <v>1</v>
      </c>
      <c r="R23" t="b">
        <f t="shared" si="2"/>
        <v>1</v>
      </c>
    </row>
    <row r="24" spans="1:18" x14ac:dyDescent="0.3">
      <c r="A24" t="s">
        <v>121</v>
      </c>
      <c r="C24" t="str">
        <f>IF(ISBLANK(Table1[[#This Row],[Converted]]),Table1[[#This Row],[UNLocode]],Table1[[#This Row],[Converted]])</f>
        <v>INNSA</v>
      </c>
      <c r="D24" t="s">
        <v>84</v>
      </c>
      <c r="E24" t="s">
        <v>122</v>
      </c>
      <c r="F24" t="s">
        <v>86</v>
      </c>
      <c r="G24" t="s">
        <v>86</v>
      </c>
      <c r="H24" t="s">
        <v>42</v>
      </c>
      <c r="I24">
        <v>73.02</v>
      </c>
      <c r="J24">
        <v>18.559999999999999</v>
      </c>
      <c r="K24">
        <v>9.5</v>
      </c>
      <c r="L24">
        <v>200</v>
      </c>
      <c r="M24">
        <v>186</v>
      </c>
      <c r="N24">
        <v>6837</v>
      </c>
      <c r="O24">
        <v>17</v>
      </c>
      <c r="P24" t="b">
        <f t="shared" si="0"/>
        <v>1</v>
      </c>
      <c r="Q24" t="b">
        <f t="shared" si="1"/>
        <v>1</v>
      </c>
      <c r="R24" t="b">
        <f t="shared" si="2"/>
        <v>1</v>
      </c>
    </row>
    <row r="25" spans="1:18" x14ac:dyDescent="0.3">
      <c r="A25" t="s">
        <v>83</v>
      </c>
      <c r="C25" t="str">
        <f>IF(ISBLANK(Table1[[#This Row],[Converted]]),Table1[[#This Row],[UNLocode]],Table1[[#This Row],[Converted]])</f>
        <v>INPAV</v>
      </c>
      <c r="D25" t="s">
        <v>84</v>
      </c>
      <c r="E25" t="s">
        <v>85</v>
      </c>
      <c r="F25" t="s">
        <v>86</v>
      </c>
      <c r="G25" t="s">
        <v>86</v>
      </c>
      <c r="H25" t="s">
        <v>42</v>
      </c>
      <c r="I25">
        <v>71.583081000000007</v>
      </c>
      <c r="J25">
        <v>20.974917000000001</v>
      </c>
      <c r="K25">
        <v>12.5</v>
      </c>
      <c r="L25">
        <v>208</v>
      </c>
      <c r="M25">
        <v>9</v>
      </c>
      <c r="N25">
        <v>4372</v>
      </c>
      <c r="O25">
        <v>4</v>
      </c>
      <c r="P25" t="b">
        <f t="shared" si="0"/>
        <v>1</v>
      </c>
      <c r="Q25" t="b">
        <f t="shared" si="1"/>
        <v>1</v>
      </c>
      <c r="R25" t="b">
        <f t="shared" si="2"/>
        <v>1</v>
      </c>
    </row>
    <row r="26" spans="1:18" x14ac:dyDescent="0.3">
      <c r="A26" t="s">
        <v>159</v>
      </c>
      <c r="C26" t="s">
        <v>208</v>
      </c>
      <c r="D26" t="s">
        <v>84</v>
      </c>
      <c r="E26" t="s">
        <v>160</v>
      </c>
      <c r="F26" t="s">
        <v>86</v>
      </c>
      <c r="G26" t="s">
        <v>86</v>
      </c>
      <c r="H26" t="s">
        <v>42</v>
      </c>
      <c r="I26">
        <v>8.4700000000000006</v>
      </c>
      <c r="J26">
        <v>78.08</v>
      </c>
      <c r="K26">
        <v>9.5</v>
      </c>
      <c r="P26" t="b">
        <f t="shared" si="0"/>
        <v>1</v>
      </c>
      <c r="Q26" t="b">
        <f t="shared" si="1"/>
        <v>1</v>
      </c>
      <c r="R26" t="b">
        <f t="shared" si="2"/>
        <v>1</v>
      </c>
    </row>
    <row r="27" spans="1:18" x14ac:dyDescent="0.3">
      <c r="A27" t="s">
        <v>174</v>
      </c>
      <c r="B27" t="s">
        <v>208</v>
      </c>
      <c r="C27" t="str">
        <f>IF(ISBLANK(Table1[[#This Row],[Converted]]),Table1[[#This Row],[UNLocode]],Table1[[#This Row],[Converted]])</f>
        <v>-</v>
      </c>
      <c r="D27" t="s">
        <v>35</v>
      </c>
      <c r="E27" t="s">
        <v>175</v>
      </c>
      <c r="F27" t="s">
        <v>37</v>
      </c>
      <c r="G27" t="s">
        <v>37</v>
      </c>
      <c r="H27" t="s">
        <v>37</v>
      </c>
      <c r="I27">
        <v>26.23</v>
      </c>
      <c r="J27">
        <v>127.55</v>
      </c>
      <c r="P27" t="b">
        <f t="shared" si="0"/>
        <v>0</v>
      </c>
      <c r="Q27" t="b">
        <f t="shared" si="1"/>
        <v>1</v>
      </c>
      <c r="R27" t="b">
        <f t="shared" si="2"/>
        <v>1</v>
      </c>
    </row>
    <row r="28" spans="1:18" x14ac:dyDescent="0.3">
      <c r="A28" t="s">
        <v>87</v>
      </c>
      <c r="C28" t="str">
        <f>IF(ISBLANK(Table1[[#This Row],[Converted]]),Table1[[#This Row],[UNLocode]],Table1[[#This Row],[Converted]])</f>
        <v>JPHKT</v>
      </c>
      <c r="D28" t="s">
        <v>35</v>
      </c>
      <c r="E28" t="s">
        <v>88</v>
      </c>
      <c r="F28" t="s">
        <v>37</v>
      </c>
      <c r="G28" t="s">
        <v>37</v>
      </c>
      <c r="H28" t="s">
        <v>37</v>
      </c>
      <c r="I28">
        <v>130.40620000000001</v>
      </c>
      <c r="J28">
        <v>33.593699999999998</v>
      </c>
      <c r="K28">
        <v>12.5</v>
      </c>
      <c r="L28">
        <v>183</v>
      </c>
      <c r="M28">
        <v>85</v>
      </c>
      <c r="N28">
        <v>7150</v>
      </c>
      <c r="O28">
        <v>5</v>
      </c>
      <c r="P28" t="b">
        <f t="shared" si="0"/>
        <v>1</v>
      </c>
      <c r="Q28" t="b">
        <f t="shared" si="1"/>
        <v>1</v>
      </c>
      <c r="R28" t="b">
        <f t="shared" si="2"/>
        <v>1</v>
      </c>
    </row>
    <row r="29" spans="1:18" x14ac:dyDescent="0.3">
      <c r="A29" t="s">
        <v>61</v>
      </c>
      <c r="C29" t="str">
        <f>IF(ISBLANK(Table1[[#This Row],[Converted]]),Table1[[#This Row],[UNLocode]],Table1[[#This Row],[Converted]])</f>
        <v>JPNGO</v>
      </c>
      <c r="D29" t="s">
        <v>35</v>
      </c>
      <c r="E29" t="s">
        <v>62</v>
      </c>
      <c r="F29" t="s">
        <v>37</v>
      </c>
      <c r="G29" t="s">
        <v>37</v>
      </c>
      <c r="H29" t="s">
        <v>37</v>
      </c>
      <c r="I29">
        <v>136.91999999999999</v>
      </c>
      <c r="J29">
        <v>35.17</v>
      </c>
      <c r="K29">
        <v>13.5</v>
      </c>
      <c r="L29">
        <v>134</v>
      </c>
      <c r="M29">
        <v>63</v>
      </c>
      <c r="N29">
        <v>17860</v>
      </c>
      <c r="O29">
        <v>7</v>
      </c>
      <c r="P29" t="b">
        <f t="shared" si="0"/>
        <v>1</v>
      </c>
      <c r="Q29" t="b">
        <f t="shared" si="1"/>
        <v>1</v>
      </c>
      <c r="R29" t="b">
        <f t="shared" si="2"/>
        <v>1</v>
      </c>
    </row>
    <row r="30" spans="1:18" x14ac:dyDescent="0.3">
      <c r="A30" t="s">
        <v>113</v>
      </c>
      <c r="C30" t="str">
        <f>IF(ISBLANK(Table1[[#This Row],[Converted]]),Table1[[#This Row],[UNLocode]],Table1[[#This Row],[Converted]])</f>
        <v>JPOSA</v>
      </c>
      <c r="D30" t="s">
        <v>35</v>
      </c>
      <c r="E30" t="s">
        <v>114</v>
      </c>
      <c r="F30" t="s">
        <v>37</v>
      </c>
      <c r="G30" t="s">
        <v>37</v>
      </c>
      <c r="H30" t="s">
        <v>37</v>
      </c>
      <c r="I30">
        <v>135.5</v>
      </c>
      <c r="J30">
        <v>34.67</v>
      </c>
      <c r="K30">
        <v>11</v>
      </c>
      <c r="L30">
        <v>160</v>
      </c>
      <c r="M30">
        <v>86</v>
      </c>
      <c r="N30">
        <v>12566</v>
      </c>
      <c r="O30">
        <v>16</v>
      </c>
      <c r="P30" t="b">
        <f t="shared" si="0"/>
        <v>1</v>
      </c>
      <c r="Q30" t="b">
        <f t="shared" si="1"/>
        <v>1</v>
      </c>
      <c r="R30" t="b">
        <f t="shared" si="2"/>
        <v>1</v>
      </c>
    </row>
    <row r="31" spans="1:18" x14ac:dyDescent="0.3">
      <c r="A31" t="s">
        <v>46</v>
      </c>
      <c r="C31" t="str">
        <f>IF(ISBLANK(Table1[[#This Row],[Converted]]),Table1[[#This Row],[UNLocode]],Table1[[#This Row],[Converted]])</f>
        <v>JPSMZ</v>
      </c>
      <c r="D31" t="s">
        <v>35</v>
      </c>
      <c r="E31" t="s">
        <v>47</v>
      </c>
      <c r="F31" t="s">
        <v>37</v>
      </c>
      <c r="G31" t="s">
        <v>37</v>
      </c>
      <c r="H31" t="s">
        <v>37</v>
      </c>
      <c r="I31">
        <v>138.47999999999999</v>
      </c>
      <c r="J31">
        <v>35.020000000000003</v>
      </c>
      <c r="K31">
        <v>13.5</v>
      </c>
      <c r="L31">
        <v>197</v>
      </c>
      <c r="M31">
        <v>82</v>
      </c>
      <c r="N31">
        <v>18160</v>
      </c>
      <c r="O31">
        <v>11</v>
      </c>
      <c r="P31" t="b">
        <f t="shared" si="0"/>
        <v>1</v>
      </c>
      <c r="Q31" t="b">
        <f t="shared" si="1"/>
        <v>1</v>
      </c>
      <c r="R31" t="b">
        <f t="shared" si="2"/>
        <v>1</v>
      </c>
    </row>
    <row r="32" spans="1:18" x14ac:dyDescent="0.3">
      <c r="A32" t="s">
        <v>34</v>
      </c>
      <c r="C32" t="str">
        <f>IF(ISBLANK(Table1[[#This Row],[Converted]]),Table1[[#This Row],[UNLocode]],Table1[[#This Row],[Converted]])</f>
        <v>JPTYO</v>
      </c>
      <c r="D32" t="s">
        <v>35</v>
      </c>
      <c r="E32" t="s">
        <v>36</v>
      </c>
      <c r="F32" t="s">
        <v>37</v>
      </c>
      <c r="G32" t="s">
        <v>37</v>
      </c>
      <c r="H32" t="s">
        <v>37</v>
      </c>
      <c r="I32">
        <v>139.76560000000001</v>
      </c>
      <c r="J32">
        <v>35.6875</v>
      </c>
      <c r="K32">
        <v>13.5</v>
      </c>
      <c r="L32">
        <v>275</v>
      </c>
      <c r="M32">
        <v>87</v>
      </c>
      <c r="N32">
        <v>2867</v>
      </c>
      <c r="O32">
        <v>9</v>
      </c>
      <c r="P32" t="b">
        <f t="shared" si="0"/>
        <v>1</v>
      </c>
      <c r="Q32" t="b">
        <f t="shared" si="1"/>
        <v>1</v>
      </c>
      <c r="R32" t="b">
        <f t="shared" si="2"/>
        <v>1</v>
      </c>
    </row>
    <row r="33" spans="1:18" x14ac:dyDescent="0.3">
      <c r="A33" t="s">
        <v>101</v>
      </c>
      <c r="C33" t="str">
        <f>IF(ISBLANK(Table1[[#This Row],[Converted]]),Table1[[#This Row],[UNLocode]],Table1[[#This Row],[Converted]])</f>
        <v>JPUKB</v>
      </c>
      <c r="D33" t="s">
        <v>35</v>
      </c>
      <c r="E33" t="s">
        <v>102</v>
      </c>
      <c r="F33" t="s">
        <v>37</v>
      </c>
      <c r="G33" t="s">
        <v>37</v>
      </c>
      <c r="H33" t="s">
        <v>37</v>
      </c>
      <c r="I33">
        <v>135.16999999999999</v>
      </c>
      <c r="J33">
        <v>34.68</v>
      </c>
      <c r="K33">
        <v>12.5</v>
      </c>
      <c r="L33">
        <v>107</v>
      </c>
      <c r="M33">
        <v>63</v>
      </c>
      <c r="N33">
        <v>13695</v>
      </c>
      <c r="O33">
        <v>4</v>
      </c>
      <c r="P33" t="b">
        <f t="shared" si="0"/>
        <v>1</v>
      </c>
      <c r="Q33" t="b">
        <f t="shared" si="1"/>
        <v>1</v>
      </c>
      <c r="R33" t="b">
        <f t="shared" si="2"/>
        <v>1</v>
      </c>
    </row>
    <row r="34" spans="1:18" x14ac:dyDescent="0.3">
      <c r="A34" t="s">
        <v>74</v>
      </c>
      <c r="C34" t="str">
        <f>IF(ISBLANK(Table1[[#This Row],[Converted]]),Table1[[#This Row],[UNLocode]],Table1[[#This Row],[Converted]])</f>
        <v>JPYOK</v>
      </c>
      <c r="D34" t="s">
        <v>35</v>
      </c>
      <c r="E34" t="s">
        <v>75</v>
      </c>
      <c r="F34" t="s">
        <v>37</v>
      </c>
      <c r="G34" t="s">
        <v>37</v>
      </c>
      <c r="H34" t="s">
        <v>37</v>
      </c>
      <c r="I34">
        <v>139.55000000000001</v>
      </c>
      <c r="J34">
        <v>35.450000000000003</v>
      </c>
      <c r="K34">
        <v>13.5</v>
      </c>
      <c r="L34">
        <v>105</v>
      </c>
      <c r="M34">
        <v>68</v>
      </c>
      <c r="N34">
        <v>16900</v>
      </c>
      <c r="O34">
        <v>1</v>
      </c>
      <c r="P34" t="b">
        <f t="shared" ref="P34:P54" si="3">OR(IFERROR(MATCH($A34,Sel_port,0)&gt;0,FALSE),IFERROR(MATCH($A34,Sel_port,0)&gt;0,FALSE))</f>
        <v>1</v>
      </c>
      <c r="Q34" t="b">
        <f t="shared" ref="Q34:Q54" si="4">IFERROR(MATCH(LEFT($A34,2),int_c,0)&gt;0,FALSE)</f>
        <v>1</v>
      </c>
      <c r="R34" t="b">
        <f t="shared" ref="R34:R54" si="5">OR(P34,Q34)</f>
        <v>1</v>
      </c>
    </row>
    <row r="35" spans="1:18" x14ac:dyDescent="0.3">
      <c r="A35" t="s">
        <v>151</v>
      </c>
      <c r="C35" t="str">
        <f>IF(ISBLANK(Table1[[#This Row],[Converted]]),Table1[[#This Row],[UNLocode]],Table1[[#This Row],[Converted]])</f>
        <v>KHKOS</v>
      </c>
      <c r="D35" t="s">
        <v>152</v>
      </c>
      <c r="E35" t="s">
        <v>153</v>
      </c>
      <c r="F35" t="s">
        <v>154</v>
      </c>
      <c r="G35" t="s">
        <v>154</v>
      </c>
      <c r="H35" t="s">
        <v>65</v>
      </c>
      <c r="I35">
        <v>103.53</v>
      </c>
      <c r="J35">
        <v>10.633330000000001</v>
      </c>
      <c r="K35">
        <v>9.5</v>
      </c>
      <c r="L35">
        <v>85</v>
      </c>
      <c r="M35">
        <v>63</v>
      </c>
      <c r="N35">
        <v>3156</v>
      </c>
      <c r="O35">
        <v>10</v>
      </c>
      <c r="P35" t="b">
        <f t="shared" si="3"/>
        <v>1</v>
      </c>
      <c r="Q35" t="b">
        <f t="shared" si="4"/>
        <v>1</v>
      </c>
      <c r="R35" t="b">
        <f t="shared" si="5"/>
        <v>1</v>
      </c>
    </row>
    <row r="36" spans="1:18" x14ac:dyDescent="0.3">
      <c r="A36" t="s">
        <v>168</v>
      </c>
      <c r="B36" t="s">
        <v>190</v>
      </c>
      <c r="C36" t="str">
        <f>IF(ISBLANK(Table1[[#This Row],[Converted]]),Table1[[#This Row],[UNLocode]],Table1[[#This Row],[Converted]])</f>
        <v>KRINC</v>
      </c>
      <c r="D36" t="s">
        <v>77</v>
      </c>
      <c r="E36" t="s">
        <v>169</v>
      </c>
      <c r="F36" t="s">
        <v>79</v>
      </c>
      <c r="G36" t="s">
        <v>79</v>
      </c>
      <c r="H36" t="s">
        <v>80</v>
      </c>
      <c r="I36">
        <v>126.636</v>
      </c>
      <c r="J36">
        <v>37.475000000000001</v>
      </c>
      <c r="K36">
        <v>8</v>
      </c>
      <c r="L36">
        <v>80</v>
      </c>
      <c r="M36">
        <v>64</v>
      </c>
      <c r="N36">
        <v>3337</v>
      </c>
      <c r="O36">
        <v>5</v>
      </c>
      <c r="P36" t="b">
        <f t="shared" si="3"/>
        <v>0</v>
      </c>
      <c r="Q36" t="b">
        <f t="shared" si="4"/>
        <v>1</v>
      </c>
      <c r="R36" t="b">
        <f t="shared" si="5"/>
        <v>1</v>
      </c>
    </row>
    <row r="37" spans="1:18" x14ac:dyDescent="0.3">
      <c r="A37" t="s">
        <v>103</v>
      </c>
      <c r="C37" t="str">
        <f>IF(ISBLANK(Table1[[#This Row],[Converted]]),Table1[[#This Row],[UNLocode]],Table1[[#This Row],[Converted]])</f>
        <v>KRKAN</v>
      </c>
      <c r="D37" t="s">
        <v>77</v>
      </c>
      <c r="E37" t="s">
        <v>104</v>
      </c>
      <c r="F37" t="s">
        <v>79</v>
      </c>
      <c r="G37" t="s">
        <v>79</v>
      </c>
      <c r="H37" t="s">
        <v>80</v>
      </c>
      <c r="I37">
        <v>127.58</v>
      </c>
      <c r="J37">
        <v>34.97</v>
      </c>
      <c r="K37">
        <v>12.5</v>
      </c>
      <c r="L37">
        <v>49</v>
      </c>
      <c r="M37">
        <v>48</v>
      </c>
      <c r="N37">
        <v>2453</v>
      </c>
      <c r="O37">
        <v>1</v>
      </c>
      <c r="P37" t="b">
        <f t="shared" si="3"/>
        <v>1</v>
      </c>
      <c r="Q37" t="b">
        <f t="shared" si="4"/>
        <v>1</v>
      </c>
      <c r="R37" t="b">
        <f t="shared" si="5"/>
        <v>1</v>
      </c>
    </row>
    <row r="38" spans="1:18" x14ac:dyDescent="0.3">
      <c r="A38" t="s">
        <v>76</v>
      </c>
      <c r="C38" t="str">
        <f>IF(ISBLANK(Table1[[#This Row],[Converted]]),Table1[[#This Row],[UNLocode]],Table1[[#This Row],[Converted]])</f>
        <v>KRPUS</v>
      </c>
      <c r="D38" t="s">
        <v>77</v>
      </c>
      <c r="E38" t="s">
        <v>78</v>
      </c>
      <c r="F38" t="s">
        <v>79</v>
      </c>
      <c r="G38" t="s">
        <v>79</v>
      </c>
      <c r="H38" t="s">
        <v>80</v>
      </c>
      <c r="I38">
        <v>129.04</v>
      </c>
      <c r="J38">
        <v>35.1</v>
      </c>
      <c r="K38">
        <v>13.5</v>
      </c>
      <c r="L38">
        <v>77</v>
      </c>
      <c r="M38">
        <v>48</v>
      </c>
      <c r="N38">
        <v>2842</v>
      </c>
      <c r="O38">
        <v>5</v>
      </c>
      <c r="P38" t="b">
        <f t="shared" si="3"/>
        <v>1</v>
      </c>
      <c r="Q38" t="b">
        <f t="shared" si="4"/>
        <v>1</v>
      </c>
      <c r="R38" t="b">
        <f t="shared" si="5"/>
        <v>1</v>
      </c>
    </row>
    <row r="39" spans="1:18" x14ac:dyDescent="0.3">
      <c r="A39" t="s">
        <v>38</v>
      </c>
      <c r="C39" t="str">
        <f>IF(ISBLANK(Table1[[#This Row],[Converted]]),Table1[[#This Row],[UNLocode]],Table1[[#This Row],[Converted]])</f>
        <v>LKCMB</v>
      </c>
      <c r="D39" t="s">
        <v>39</v>
      </c>
      <c r="E39" t="s">
        <v>40</v>
      </c>
      <c r="F39" t="s">
        <v>41</v>
      </c>
      <c r="G39" t="s">
        <v>41</v>
      </c>
      <c r="H39" t="s">
        <v>42</v>
      </c>
      <c r="I39">
        <v>79.849999999999994</v>
      </c>
      <c r="J39">
        <v>6.9333340000000003</v>
      </c>
      <c r="K39">
        <v>13.5</v>
      </c>
      <c r="L39">
        <v>272</v>
      </c>
      <c r="M39">
        <v>73</v>
      </c>
      <c r="N39">
        <v>2568</v>
      </c>
      <c r="O39">
        <v>4</v>
      </c>
      <c r="P39" t="b">
        <f t="shared" si="3"/>
        <v>1</v>
      </c>
      <c r="Q39" t="b">
        <f t="shared" si="4"/>
        <v>1</v>
      </c>
      <c r="R39" t="b">
        <f t="shared" si="5"/>
        <v>1</v>
      </c>
    </row>
    <row r="40" spans="1:18" x14ac:dyDescent="0.3">
      <c r="A40" t="s">
        <v>131</v>
      </c>
      <c r="C40" t="str">
        <f>IF(ISBLANK(Table1[[#This Row],[Converted]]),Table1[[#This Row],[UNLocode]],Table1[[#This Row],[Converted]])</f>
        <v>MYPEN</v>
      </c>
      <c r="D40" t="s">
        <v>71</v>
      </c>
      <c r="E40" t="s">
        <v>132</v>
      </c>
      <c r="F40" t="s">
        <v>73</v>
      </c>
      <c r="G40" t="s">
        <v>73</v>
      </c>
      <c r="H40" t="s">
        <v>65</v>
      </c>
      <c r="I40">
        <v>100.28</v>
      </c>
      <c r="J40">
        <v>5.4062000000000001</v>
      </c>
      <c r="K40">
        <v>9.5</v>
      </c>
      <c r="L40">
        <v>134</v>
      </c>
      <c r="M40">
        <v>60</v>
      </c>
      <c r="N40">
        <v>3213</v>
      </c>
      <c r="O40">
        <v>9</v>
      </c>
      <c r="P40" t="b">
        <f t="shared" si="3"/>
        <v>1</v>
      </c>
      <c r="Q40" t="b">
        <f t="shared" si="4"/>
        <v>1</v>
      </c>
      <c r="R40" t="b">
        <f t="shared" si="5"/>
        <v>1</v>
      </c>
    </row>
    <row r="41" spans="1:18" x14ac:dyDescent="0.3">
      <c r="A41" t="s">
        <v>81</v>
      </c>
      <c r="C41" t="str">
        <f>IF(ISBLANK(Table1[[#This Row],[Converted]]),Table1[[#This Row],[UNLocode]],Table1[[#This Row],[Converted]])</f>
        <v>MYPKG</v>
      </c>
      <c r="D41" t="s">
        <v>71</v>
      </c>
      <c r="E41" t="s">
        <v>82</v>
      </c>
      <c r="F41" t="s">
        <v>73</v>
      </c>
      <c r="G41" t="s">
        <v>73</v>
      </c>
      <c r="H41" t="s">
        <v>65</v>
      </c>
      <c r="I41">
        <v>101.446</v>
      </c>
      <c r="J41">
        <v>3.0419999999999998</v>
      </c>
      <c r="K41">
        <v>13.5</v>
      </c>
      <c r="L41">
        <v>50</v>
      </c>
      <c r="M41">
        <v>34</v>
      </c>
      <c r="N41">
        <v>2549</v>
      </c>
      <c r="O41">
        <v>3</v>
      </c>
      <c r="P41" t="b">
        <f t="shared" si="3"/>
        <v>1</v>
      </c>
      <c r="Q41" t="b">
        <f t="shared" si="4"/>
        <v>1</v>
      </c>
      <c r="R41" t="b">
        <f t="shared" si="5"/>
        <v>1</v>
      </c>
    </row>
    <row r="42" spans="1:18" x14ac:dyDescent="0.3">
      <c r="A42" t="s">
        <v>70</v>
      </c>
      <c r="C42" t="str">
        <f>IF(ISBLANK(Table1[[#This Row],[Converted]]),Table1[[#This Row],[UNLocode]],Table1[[#This Row],[Converted]])</f>
        <v>MYTPP</v>
      </c>
      <c r="D42" t="s">
        <v>71</v>
      </c>
      <c r="E42" t="s">
        <v>72</v>
      </c>
      <c r="F42" t="s">
        <v>73</v>
      </c>
      <c r="G42" t="s">
        <v>73</v>
      </c>
      <c r="H42" t="s">
        <v>65</v>
      </c>
      <c r="I42">
        <v>103.593</v>
      </c>
      <c r="J42">
        <v>1.405</v>
      </c>
      <c r="K42">
        <v>13.5</v>
      </c>
      <c r="L42">
        <v>115</v>
      </c>
      <c r="M42">
        <v>59</v>
      </c>
      <c r="N42">
        <v>1992</v>
      </c>
      <c r="O42">
        <v>3</v>
      </c>
      <c r="P42" t="b">
        <f t="shared" si="3"/>
        <v>1</v>
      </c>
      <c r="Q42" t="b">
        <f t="shared" si="4"/>
        <v>1</v>
      </c>
      <c r="R42" t="b">
        <f t="shared" si="5"/>
        <v>1</v>
      </c>
    </row>
    <row r="43" spans="1:18" x14ac:dyDescent="0.3">
      <c r="A43" t="s">
        <v>170</v>
      </c>
      <c r="B43" t="s">
        <v>199</v>
      </c>
      <c r="C43" t="str">
        <f>IF(ISBLANK(Table1[[#This Row],[Converted]]),Table1[[#This Row],[UNLocode]],Table1[[#This Row],[Converted]])</f>
        <v>PHDVO</v>
      </c>
      <c r="D43" t="s">
        <v>128</v>
      </c>
      <c r="E43" t="s">
        <v>171</v>
      </c>
      <c r="F43" t="s">
        <v>130</v>
      </c>
      <c r="G43" t="s">
        <v>130</v>
      </c>
      <c r="H43" t="s">
        <v>65</v>
      </c>
      <c r="I43">
        <v>125.16667</v>
      </c>
      <c r="J43">
        <v>6.1166700000000001</v>
      </c>
      <c r="K43">
        <v>8</v>
      </c>
      <c r="L43">
        <v>27</v>
      </c>
      <c r="M43">
        <v>85</v>
      </c>
      <c r="N43">
        <v>3182</v>
      </c>
      <c r="O43">
        <v>7</v>
      </c>
      <c r="P43" t="b">
        <f t="shared" si="3"/>
        <v>0</v>
      </c>
      <c r="Q43" t="b">
        <f t="shared" si="4"/>
        <v>1</v>
      </c>
      <c r="R43" t="b">
        <f t="shared" si="5"/>
        <v>1</v>
      </c>
    </row>
    <row r="44" spans="1:18" x14ac:dyDescent="0.3">
      <c r="A44" t="s">
        <v>127</v>
      </c>
      <c r="C44" t="str">
        <f>IF(ISBLANK(Table1[[#This Row],[Converted]]),Table1[[#This Row],[UNLocode]],Table1[[#This Row],[Converted]])</f>
        <v>PHMNL</v>
      </c>
      <c r="D44" t="s">
        <v>128</v>
      </c>
      <c r="E44" t="s">
        <v>129</v>
      </c>
      <c r="F44" t="s">
        <v>130</v>
      </c>
      <c r="G44" t="s">
        <v>130</v>
      </c>
      <c r="H44" t="s">
        <v>65</v>
      </c>
      <c r="I44">
        <v>121</v>
      </c>
      <c r="J44">
        <v>14.58334</v>
      </c>
      <c r="K44">
        <v>9.5</v>
      </c>
      <c r="L44">
        <v>151</v>
      </c>
      <c r="M44">
        <v>1</v>
      </c>
      <c r="N44">
        <v>3125</v>
      </c>
      <c r="O44">
        <v>7</v>
      </c>
      <c r="P44" t="b">
        <f t="shared" si="3"/>
        <v>1</v>
      </c>
      <c r="Q44" t="b">
        <f t="shared" si="4"/>
        <v>1</v>
      </c>
      <c r="R44" t="b">
        <f t="shared" si="5"/>
        <v>1</v>
      </c>
    </row>
    <row r="45" spans="1:18" x14ac:dyDescent="0.3">
      <c r="A45" t="s">
        <v>141</v>
      </c>
      <c r="C45" t="str">
        <f>IF(ISBLANK(Table1[[#This Row],[Converted]]),Table1[[#This Row],[UNLocode]],Table1[[#This Row],[Converted]])</f>
        <v>PKBQM</v>
      </c>
      <c r="D45" t="s">
        <v>118</v>
      </c>
      <c r="E45" t="s">
        <v>142</v>
      </c>
      <c r="F45" t="s">
        <v>120</v>
      </c>
      <c r="G45" t="s">
        <v>120</v>
      </c>
      <c r="H45" t="s">
        <v>42</v>
      </c>
      <c r="I45">
        <v>67.333340000000007</v>
      </c>
      <c r="J45">
        <v>24.767666999999999</v>
      </c>
      <c r="K45">
        <v>9.5</v>
      </c>
      <c r="L45">
        <v>102</v>
      </c>
      <c r="M45">
        <v>60</v>
      </c>
      <c r="N45">
        <v>7581</v>
      </c>
      <c r="O45">
        <v>23</v>
      </c>
      <c r="P45" t="b">
        <f t="shared" si="3"/>
        <v>1</v>
      </c>
      <c r="Q45" t="b">
        <f t="shared" si="4"/>
        <v>1</v>
      </c>
      <c r="R45" t="b">
        <f t="shared" si="5"/>
        <v>1</v>
      </c>
    </row>
    <row r="46" spans="1:18" x14ac:dyDescent="0.3">
      <c r="A46" t="s">
        <v>117</v>
      </c>
      <c r="C46" t="str">
        <f>IF(ISBLANK(Table1[[#This Row],[Converted]]),Table1[[#This Row],[UNLocode]],Table1[[#This Row],[Converted]])</f>
        <v>PKKHI</v>
      </c>
      <c r="D46" t="s">
        <v>118</v>
      </c>
      <c r="E46" t="s">
        <v>119</v>
      </c>
      <c r="F46" t="s">
        <v>120</v>
      </c>
      <c r="G46" t="s">
        <v>120</v>
      </c>
      <c r="H46" t="s">
        <v>42</v>
      </c>
      <c r="I46">
        <v>67.05</v>
      </c>
      <c r="J46">
        <v>24.866667</v>
      </c>
      <c r="K46">
        <v>9.5</v>
      </c>
      <c r="L46">
        <v>257</v>
      </c>
      <c r="M46">
        <v>0</v>
      </c>
      <c r="N46">
        <v>9262</v>
      </c>
      <c r="O46">
        <v>49</v>
      </c>
      <c r="P46" t="b">
        <f t="shared" si="3"/>
        <v>1</v>
      </c>
      <c r="Q46" t="b">
        <f t="shared" si="4"/>
        <v>1</v>
      </c>
      <c r="R46" t="b">
        <f t="shared" si="5"/>
        <v>1</v>
      </c>
    </row>
    <row r="47" spans="1:18" x14ac:dyDescent="0.3">
      <c r="A47" t="s">
        <v>63</v>
      </c>
      <c r="C47" t="str">
        <f>IF(ISBLANK(Table1[[#This Row],[Converted]]),Table1[[#This Row],[UNLocode]],Table1[[#This Row],[Converted]])</f>
        <v>SGSIN</v>
      </c>
      <c r="D47" t="s">
        <v>64</v>
      </c>
      <c r="E47" t="s">
        <v>65</v>
      </c>
      <c r="F47" t="s">
        <v>65</v>
      </c>
      <c r="G47" t="s">
        <v>65</v>
      </c>
      <c r="H47" t="s">
        <v>65</v>
      </c>
      <c r="I47">
        <v>103.8437</v>
      </c>
      <c r="J47">
        <v>1.2811999999999999</v>
      </c>
      <c r="K47">
        <v>13.5</v>
      </c>
      <c r="L47">
        <v>130</v>
      </c>
      <c r="M47">
        <v>85</v>
      </c>
      <c r="N47">
        <v>3268</v>
      </c>
      <c r="O47">
        <v>1</v>
      </c>
      <c r="P47" t="b">
        <f t="shared" si="3"/>
        <v>1</v>
      </c>
      <c r="Q47" t="b">
        <f t="shared" si="4"/>
        <v>1</v>
      </c>
      <c r="R47" t="b">
        <f t="shared" si="5"/>
        <v>1</v>
      </c>
    </row>
    <row r="48" spans="1:18" x14ac:dyDescent="0.3">
      <c r="A48" t="s">
        <v>143</v>
      </c>
      <c r="C48" t="str">
        <f>IF(ISBLANK(Table1[[#This Row],[Converted]]),Table1[[#This Row],[UNLocode]],Table1[[#This Row],[Converted]])</f>
        <v>THLCH</v>
      </c>
      <c r="D48" t="s">
        <v>144</v>
      </c>
      <c r="E48" t="s">
        <v>145</v>
      </c>
      <c r="F48" t="s">
        <v>146</v>
      </c>
      <c r="G48" t="s">
        <v>146</v>
      </c>
      <c r="H48" t="s">
        <v>65</v>
      </c>
      <c r="I48">
        <v>100.991433</v>
      </c>
      <c r="J48">
        <v>13.382173</v>
      </c>
      <c r="K48">
        <v>9.5</v>
      </c>
      <c r="L48">
        <v>95</v>
      </c>
      <c r="M48">
        <v>1</v>
      </c>
      <c r="N48">
        <v>899</v>
      </c>
      <c r="O48">
        <v>6</v>
      </c>
      <c r="P48" t="b">
        <f t="shared" si="3"/>
        <v>1</v>
      </c>
      <c r="Q48" t="b">
        <f t="shared" si="4"/>
        <v>1</v>
      </c>
      <c r="R48" t="b">
        <f t="shared" si="5"/>
        <v>1</v>
      </c>
    </row>
    <row r="49" spans="1:18" x14ac:dyDescent="0.3">
      <c r="A49" t="s">
        <v>155</v>
      </c>
      <c r="C49" t="str">
        <f>IF(ISBLANK(Table1[[#This Row],[Converted]]),Table1[[#This Row],[UNLocode]],Table1[[#This Row],[Converted]])</f>
        <v>THSGZ</v>
      </c>
      <c r="D49" t="s">
        <v>144</v>
      </c>
      <c r="E49" t="s">
        <v>156</v>
      </c>
      <c r="F49" t="s">
        <v>146</v>
      </c>
      <c r="G49" t="s">
        <v>146</v>
      </c>
      <c r="H49" t="s">
        <v>65</v>
      </c>
      <c r="I49">
        <v>100.558519</v>
      </c>
      <c r="J49">
        <v>7.2150829999999999</v>
      </c>
      <c r="K49">
        <v>9.5</v>
      </c>
      <c r="L49">
        <v>83</v>
      </c>
      <c r="M49">
        <v>65</v>
      </c>
      <c r="N49">
        <v>3293</v>
      </c>
      <c r="O49">
        <v>10</v>
      </c>
      <c r="P49" t="b">
        <f t="shared" si="3"/>
        <v>1</v>
      </c>
      <c r="Q49" t="b">
        <f t="shared" si="4"/>
        <v>1</v>
      </c>
      <c r="R49" t="b">
        <f t="shared" si="5"/>
        <v>1</v>
      </c>
    </row>
    <row r="50" spans="1:18" x14ac:dyDescent="0.3">
      <c r="A50" t="s">
        <v>115</v>
      </c>
      <c r="C50" t="str">
        <f>IF(ISBLANK(Table1[[#This Row],[Converted]]),Table1[[#This Row],[UNLocode]],Table1[[#This Row],[Converted]])</f>
        <v>TWKEL</v>
      </c>
      <c r="D50" t="s">
        <v>106</v>
      </c>
      <c r="E50" t="s">
        <v>116</v>
      </c>
      <c r="F50" t="s">
        <v>108</v>
      </c>
      <c r="G50" t="s">
        <v>108</v>
      </c>
      <c r="H50" t="s">
        <v>65</v>
      </c>
      <c r="I50">
        <v>121.7187</v>
      </c>
      <c r="J50">
        <v>25.125</v>
      </c>
      <c r="K50">
        <v>11</v>
      </c>
      <c r="L50">
        <v>127</v>
      </c>
      <c r="M50">
        <v>83</v>
      </c>
      <c r="N50">
        <v>3213</v>
      </c>
      <c r="O50">
        <v>9</v>
      </c>
      <c r="P50" t="b">
        <f t="shared" si="3"/>
        <v>1</v>
      </c>
      <c r="Q50" t="b">
        <f t="shared" si="4"/>
        <v>1</v>
      </c>
      <c r="R50" t="b">
        <f t="shared" si="5"/>
        <v>1</v>
      </c>
    </row>
    <row r="51" spans="1:18" x14ac:dyDescent="0.3">
      <c r="A51" t="s">
        <v>105</v>
      </c>
      <c r="C51" t="str">
        <f>IF(ISBLANK(Table1[[#This Row],[Converted]]),Table1[[#This Row],[UNLocode]],Table1[[#This Row],[Converted]])</f>
        <v>TWKHH</v>
      </c>
      <c r="D51" t="s">
        <v>106</v>
      </c>
      <c r="E51" t="s">
        <v>107</v>
      </c>
      <c r="F51" t="s">
        <v>108</v>
      </c>
      <c r="G51" t="s">
        <v>108</v>
      </c>
      <c r="H51" t="s">
        <v>65</v>
      </c>
      <c r="I51">
        <v>120.28333000000001</v>
      </c>
      <c r="J51">
        <v>22.633334000000001</v>
      </c>
      <c r="K51">
        <v>12.5</v>
      </c>
      <c r="L51">
        <v>18</v>
      </c>
      <c r="M51">
        <v>25</v>
      </c>
      <c r="N51">
        <v>2231</v>
      </c>
      <c r="O51">
        <v>3</v>
      </c>
      <c r="P51" t="b">
        <f t="shared" si="3"/>
        <v>1</v>
      </c>
      <c r="Q51" t="b">
        <f t="shared" si="4"/>
        <v>1</v>
      </c>
      <c r="R51" t="b">
        <f t="shared" si="5"/>
        <v>1</v>
      </c>
    </row>
    <row r="52" spans="1:18" x14ac:dyDescent="0.3">
      <c r="A52" t="s">
        <v>147</v>
      </c>
      <c r="B52" t="s">
        <v>208</v>
      </c>
      <c r="C52" t="str">
        <f>IF(ISBLANK(Table1[[#This Row],[Converted]]),Table1[[#This Row],[UNLocode]],Table1[[#This Row],[Converted]])</f>
        <v>-</v>
      </c>
      <c r="D52" t="s">
        <v>148</v>
      </c>
      <c r="E52" t="s">
        <v>149</v>
      </c>
      <c r="F52" t="s">
        <v>150</v>
      </c>
      <c r="G52" t="s">
        <v>150</v>
      </c>
      <c r="H52" t="s">
        <v>65</v>
      </c>
      <c r="I52">
        <v>108.25</v>
      </c>
      <c r="J52">
        <v>16</v>
      </c>
      <c r="K52">
        <v>9.5</v>
      </c>
      <c r="L52">
        <v>91</v>
      </c>
      <c r="M52">
        <v>60</v>
      </c>
      <c r="N52">
        <v>3002</v>
      </c>
      <c r="O52">
        <v>7</v>
      </c>
      <c r="P52" t="b">
        <f t="shared" si="3"/>
        <v>0</v>
      </c>
      <c r="Q52" t="b">
        <f t="shared" si="4"/>
        <v>1</v>
      </c>
      <c r="R52" t="b">
        <f t="shared" si="5"/>
        <v>1</v>
      </c>
    </row>
    <row r="53" spans="1:18" x14ac:dyDescent="0.3">
      <c r="A53" t="s">
        <v>157</v>
      </c>
      <c r="C53" t="str">
        <f>IF(ISBLANK(Table1[[#This Row],[Converted]]),Table1[[#This Row],[UNLocode]],Table1[[#This Row],[Converted]])</f>
        <v>VNHPH</v>
      </c>
      <c r="D53" t="s">
        <v>148</v>
      </c>
      <c r="E53" t="s">
        <v>158</v>
      </c>
      <c r="F53" t="s">
        <v>150</v>
      </c>
      <c r="G53" t="s">
        <v>150</v>
      </c>
      <c r="H53" t="s">
        <v>65</v>
      </c>
      <c r="I53">
        <v>106.68334</v>
      </c>
      <c r="J53">
        <v>20.866667</v>
      </c>
      <c r="K53">
        <v>9.5</v>
      </c>
      <c r="L53">
        <v>76</v>
      </c>
      <c r="M53">
        <v>2</v>
      </c>
      <c r="N53">
        <v>3112</v>
      </c>
      <c r="O53">
        <v>8</v>
      </c>
      <c r="P53" t="b">
        <f t="shared" si="3"/>
        <v>1</v>
      </c>
      <c r="Q53" t="b">
        <f t="shared" si="4"/>
        <v>1</v>
      </c>
      <c r="R53" t="b">
        <f t="shared" si="5"/>
        <v>1</v>
      </c>
    </row>
    <row r="54" spans="1:18" x14ac:dyDescent="0.3">
      <c r="A54" t="s">
        <v>165</v>
      </c>
      <c r="C54" t="str">
        <f>IF(ISBLANK(Table1[[#This Row],[Converted]]),Table1[[#This Row],[UNLocode]],Table1[[#This Row],[Converted]])</f>
        <v>VNSGN</v>
      </c>
      <c r="D54" t="s">
        <v>148</v>
      </c>
      <c r="E54" t="s">
        <v>166</v>
      </c>
      <c r="F54" t="s">
        <v>150</v>
      </c>
      <c r="G54" t="s">
        <v>150</v>
      </c>
      <c r="H54" t="s">
        <v>65</v>
      </c>
      <c r="I54">
        <v>106.66667</v>
      </c>
      <c r="J54">
        <v>10.75</v>
      </c>
      <c r="K54">
        <v>8</v>
      </c>
      <c r="L54">
        <v>91</v>
      </c>
      <c r="M54">
        <v>66</v>
      </c>
      <c r="N54">
        <v>4067</v>
      </c>
      <c r="O54">
        <v>7</v>
      </c>
      <c r="P54" t="b">
        <f t="shared" si="3"/>
        <v>1</v>
      </c>
      <c r="Q54" t="b">
        <f t="shared" si="4"/>
        <v>1</v>
      </c>
      <c r="R54" t="b">
        <f t="shared" si="5"/>
        <v>1</v>
      </c>
    </row>
    <row r="56" spans="1:18" x14ac:dyDescent="0.3">
      <c r="A56" t="s">
        <v>209</v>
      </c>
      <c r="B56" t="s">
        <v>207</v>
      </c>
      <c r="C56" t="s">
        <v>243</v>
      </c>
      <c r="D56" t="s">
        <v>233</v>
      </c>
      <c r="E56" t="s">
        <v>234</v>
      </c>
      <c r="F56" t="s">
        <v>239</v>
      </c>
      <c r="G56" t="s">
        <v>236</v>
      </c>
      <c r="H56" t="s">
        <v>237</v>
      </c>
      <c r="I56" t="s">
        <v>238</v>
      </c>
      <c r="J56" t="s">
        <v>260</v>
      </c>
      <c r="K56" t="s">
        <v>261</v>
      </c>
      <c r="L56" t="s">
        <v>235</v>
      </c>
      <c r="P56" t="s">
        <v>206</v>
      </c>
      <c r="Q56" t="s">
        <v>207</v>
      </c>
    </row>
    <row r="57" spans="1:18" x14ac:dyDescent="0.3">
      <c r="A57" t="s">
        <v>137</v>
      </c>
      <c r="B57" s="1" t="b">
        <f>OR(IFERROR(MATCH($A57,Table1[Locode],0)&gt;0,FALSE))</f>
        <v>1</v>
      </c>
      <c r="C57" s="2" t="str">
        <f>IF(Table2[[#This Row],[Val_count]],Table2[[#This Row],[Sel_port]],Table2[[#This Row],[up]])</f>
        <v>BDCGP</v>
      </c>
      <c r="D57">
        <f>INDEX(Table1[PortCallCostFixed],MATCH(Table2[[#This Row],[Copy From]],Table1[Locode],0))</f>
        <v>7130</v>
      </c>
      <c r="E57">
        <f>INT(INDEX(Table1[PortCallCostPerFFE],MATCH(Table2[[#This Row],[Copy From]],Table1[Locode],0))/2)</f>
        <v>19</v>
      </c>
      <c r="F57">
        <f>Table2[[#This Row],[fp]]+Table2[[#This Row],[vp]]*1500</f>
        <v>35630</v>
      </c>
      <c r="G57">
        <f>Table2[[#This Row],[fp]]+Table2[[#This Row],[vp]]*5000</f>
        <v>102130</v>
      </c>
      <c r="H57">
        <f>Table2[[#This Row],[fp]]+Table2[[#This Row],[vp]]*10000</f>
        <v>197130</v>
      </c>
      <c r="I57">
        <f>Table2[[#This Row],[fp]]+Table2[[#This Row],[vp]]*18000</f>
        <v>349130</v>
      </c>
      <c r="J57">
        <f>INT(INDEX(Table1[CostPerFULL],MATCH(Table2[[#This Row],[Copy From]],Table1[Locode],0))/2)</f>
        <v>52</v>
      </c>
      <c r="K57">
        <f>INT(INDEX(Table1[CostPerFULLTrnsf],MATCH(Table2[[#This Row],[Copy From]],Table1[Locode],0))/2)</f>
        <v>1</v>
      </c>
      <c r="L57" s="2"/>
      <c r="M57">
        <v>1500</v>
      </c>
      <c r="O57" t="s">
        <v>138</v>
      </c>
    </row>
    <row r="58" spans="1:18" x14ac:dyDescent="0.3">
      <c r="A58" t="s">
        <v>177</v>
      </c>
      <c r="B58" s="1" t="b">
        <f>OR(IFERROR(MATCH($A58,Table1[Locode],0)&gt;0,FALSE))</f>
        <v>1</v>
      </c>
      <c r="C58" s="2" t="str">
        <f>IF(Table2[[#This Row],[Val_count]],Table2[[#This Row],[Sel_port]],Table2[[#This Row],[up]])</f>
        <v>CNDCB</v>
      </c>
      <c r="D58">
        <f>INDEX(Table1[PortCallCostFixed],MATCH(Table2[[#This Row],[Copy From]],Table1[Locode],0))</f>
        <v>12047</v>
      </c>
      <c r="E58">
        <f>INT(INDEX(Table1[PortCallCostPerFFE],MATCH(Table2[[#This Row],[Copy From]],Table1[Locode],0))/2)</f>
        <v>2</v>
      </c>
      <c r="F58">
        <f>Table2[[#This Row],[fp]]+Table2[[#This Row],[vp]]*1500</f>
        <v>15047</v>
      </c>
      <c r="G58">
        <f>Table2[[#This Row],[fp]]+Table2[[#This Row],[vp]]*5000</f>
        <v>22047</v>
      </c>
      <c r="H58">
        <f>Table2[[#This Row],[fp]]+Table2[[#This Row],[vp]]*10000</f>
        <v>32047</v>
      </c>
      <c r="I58">
        <f>Table2[[#This Row],[fp]]+Table2[[#This Row],[vp]]*18000</f>
        <v>48047</v>
      </c>
      <c r="J58">
        <f>INT(INDEX(Table1[CostPerFULL],MATCH(Table2[[#This Row],[Copy From]],Table1[Locode],0))/2)</f>
        <v>89</v>
      </c>
      <c r="K58">
        <f>INT(INDEX(Table1[CostPerFULLTrnsf],MATCH(Table2[[#This Row],[Copy From]],Table1[Locode],0))/2)</f>
        <v>31</v>
      </c>
      <c r="L58" s="2"/>
      <c r="M58">
        <v>5000</v>
      </c>
      <c r="O58" t="s">
        <v>49</v>
      </c>
    </row>
    <row r="59" spans="1:18" x14ac:dyDescent="0.3">
      <c r="A59" t="s">
        <v>95</v>
      </c>
      <c r="B59" s="1" t="b">
        <f>OR(IFERROR(MATCH($A59,Table1[Locode],0)&gt;0,FALSE))</f>
        <v>1</v>
      </c>
      <c r="C59" s="2" t="str">
        <f>IF(Table2[[#This Row],[Val_count]],Table2[[#This Row],[Sel_port]],Table2[[#This Row],[up]])</f>
        <v>CNDLC</v>
      </c>
      <c r="D59">
        <f>INDEX(Table1[PortCallCostFixed],MATCH(Table2[[#This Row],[Copy From]],Table1[Locode],0))</f>
        <v>860</v>
      </c>
      <c r="E59">
        <f>INT(INDEX(Table1[PortCallCostPerFFE],MATCH(Table2[[#This Row],[Copy From]],Table1[Locode],0))/2)</f>
        <v>4</v>
      </c>
      <c r="F59">
        <f>Table2[[#This Row],[fp]]+Table2[[#This Row],[vp]]*1500</f>
        <v>6860</v>
      </c>
      <c r="G59">
        <f>Table2[[#This Row],[fp]]+Table2[[#This Row],[vp]]*5000</f>
        <v>20860</v>
      </c>
      <c r="H59">
        <f>Table2[[#This Row],[fp]]+Table2[[#This Row],[vp]]*10000</f>
        <v>40860</v>
      </c>
      <c r="I59">
        <f>Table2[[#This Row],[fp]]+Table2[[#This Row],[vp]]*18000</f>
        <v>72860</v>
      </c>
      <c r="J59">
        <f>INT(INDEX(Table1[CostPerFULL],MATCH(Table2[[#This Row],[Copy From]],Table1[Locode],0))/2)</f>
        <v>62</v>
      </c>
      <c r="K59">
        <f>INT(INDEX(Table1[CostPerFULLTrnsf],MATCH(Table2[[#This Row],[Copy From]],Table1[Locode],0))/2)</f>
        <v>37</v>
      </c>
      <c r="L59" s="2"/>
      <c r="M59">
        <v>10000</v>
      </c>
      <c r="O59" t="s">
        <v>44</v>
      </c>
    </row>
    <row r="60" spans="1:18" x14ac:dyDescent="0.3">
      <c r="A60" t="s">
        <v>89</v>
      </c>
      <c r="B60" s="1" t="b">
        <f>OR(IFERROR(MATCH($A60,Table1[Locode],0)&gt;0,FALSE))</f>
        <v>1</v>
      </c>
      <c r="C60" s="2" t="str">
        <f>IF(Table2[[#This Row],[Val_count]],Table2[[#This Row],[Sel_port]],Table2[[#This Row],[up]])</f>
        <v>CNFOC</v>
      </c>
      <c r="D60">
        <f>INDEX(Table1[PortCallCostFixed],MATCH(Table2[[#This Row],[Copy From]],Table1[Locode],0))</f>
        <v>928</v>
      </c>
      <c r="E60">
        <f>INT(INDEX(Table1[PortCallCostPerFFE],MATCH(Table2[[#This Row],[Copy From]],Table1[Locode],0))/2)</f>
        <v>3</v>
      </c>
      <c r="F60">
        <f>Table2[[#This Row],[fp]]+Table2[[#This Row],[vp]]*1500</f>
        <v>5428</v>
      </c>
      <c r="G60">
        <f>Table2[[#This Row],[fp]]+Table2[[#This Row],[vp]]*5000</f>
        <v>15928</v>
      </c>
      <c r="H60">
        <f>Table2[[#This Row],[fp]]+Table2[[#This Row],[vp]]*10000</f>
        <v>30928</v>
      </c>
      <c r="I60">
        <f>Table2[[#This Row],[fp]]+Table2[[#This Row],[vp]]*18000</f>
        <v>54928</v>
      </c>
      <c r="J60">
        <f>INT(INDEX(Table1[CostPerFULL],MATCH(Table2[[#This Row],[Copy From]],Table1[Locode],0))/2)</f>
        <v>79</v>
      </c>
      <c r="K60">
        <f>INT(INDEX(Table1[CostPerFULLTrnsf],MATCH(Table2[[#This Row],[Copy From]],Table1[Locode],0))/2)</f>
        <v>31</v>
      </c>
      <c r="L60" s="2"/>
      <c r="M60">
        <v>18000</v>
      </c>
      <c r="O60" t="s">
        <v>124</v>
      </c>
    </row>
    <row r="61" spans="1:18" x14ac:dyDescent="0.3">
      <c r="A61" t="s">
        <v>68</v>
      </c>
      <c r="B61" s="1" t="b">
        <f>OR(IFERROR(MATCH($A61,Table1[Locode],0)&gt;0,FALSE))</f>
        <v>1</v>
      </c>
      <c r="C61" s="2" t="str">
        <f>IF(Table2[[#This Row],[Val_count]],Table2[[#This Row],[Sel_port]],Table2[[#This Row],[up]])</f>
        <v>CNLYG</v>
      </c>
      <c r="D61">
        <f>INDEX(Table1[PortCallCostFixed],MATCH(Table2[[#This Row],[Copy From]],Table1[Locode],0))</f>
        <v>7962</v>
      </c>
      <c r="E61">
        <f>INT(INDEX(Table1[PortCallCostPerFFE],MATCH(Table2[[#This Row],[Copy From]],Table1[Locode],0))/2)</f>
        <v>4</v>
      </c>
      <c r="F61">
        <f>Table2[[#This Row],[fp]]+Table2[[#This Row],[vp]]*1500</f>
        <v>13962</v>
      </c>
      <c r="G61">
        <f>Table2[[#This Row],[fp]]+Table2[[#This Row],[vp]]*5000</f>
        <v>27962</v>
      </c>
      <c r="H61">
        <f>Table2[[#This Row],[fp]]+Table2[[#This Row],[vp]]*10000</f>
        <v>47962</v>
      </c>
      <c r="I61">
        <f>Table2[[#This Row],[fp]]+Table2[[#This Row],[vp]]*18000</f>
        <v>79962</v>
      </c>
      <c r="J61">
        <f>INT(INDEX(Table1[CostPerFULL],MATCH(Table2[[#This Row],[Copy From]],Table1[Locode],0))/2)</f>
        <v>58</v>
      </c>
      <c r="K61">
        <f>INT(INDEX(Table1[CostPerFULLTrnsf],MATCH(Table2[[#This Row],[Copy From]],Table1[Locode],0))/2)</f>
        <v>30</v>
      </c>
      <c r="L61" s="2"/>
      <c r="O61" t="s">
        <v>84</v>
      </c>
    </row>
    <row r="62" spans="1:18" x14ac:dyDescent="0.3">
      <c r="A62" t="s">
        <v>182</v>
      </c>
      <c r="B62" s="1" t="b">
        <f>OR(IFERROR(MATCH($A62,Table1[Locode],0)&gt;0,FALSE))</f>
        <v>1</v>
      </c>
      <c r="C62" s="2" t="str">
        <f>IF(Table2[[#This Row],[Val_count]],Table2[[#This Row],[Sel_port]],Table2[[#This Row],[up]])</f>
        <v>CNNBG</v>
      </c>
      <c r="D62">
        <f>INDEX(Table1[PortCallCostFixed],MATCH(Table2[[#This Row],[Copy From]],Table1[Locode],0))</f>
        <v>7275</v>
      </c>
      <c r="E62">
        <f>INT(INDEX(Table1[PortCallCostPerFFE],MATCH(Table2[[#This Row],[Copy From]],Table1[Locode],0))/2)</f>
        <v>2</v>
      </c>
      <c r="F62">
        <f>Table2[[#This Row],[fp]]+Table2[[#This Row],[vp]]*1500</f>
        <v>10275</v>
      </c>
      <c r="G62">
        <f>Table2[[#This Row],[fp]]+Table2[[#This Row],[vp]]*5000</f>
        <v>17275</v>
      </c>
      <c r="H62">
        <f>Table2[[#This Row],[fp]]+Table2[[#This Row],[vp]]*10000</f>
        <v>27275</v>
      </c>
      <c r="I62">
        <f>Table2[[#This Row],[fp]]+Table2[[#This Row],[vp]]*18000</f>
        <v>43275</v>
      </c>
      <c r="J62">
        <f>INT(INDEX(Table1[CostPerFULL],MATCH(Table2[[#This Row],[Copy From]],Table1[Locode],0))/2)</f>
        <v>59</v>
      </c>
      <c r="K62">
        <f>INT(INDEX(Table1[CostPerFULLTrnsf],MATCH(Table2[[#This Row],[Copy From]],Table1[Locode],0))/2)</f>
        <v>18</v>
      </c>
      <c r="L62" s="2"/>
      <c r="O62" t="s">
        <v>35</v>
      </c>
    </row>
    <row r="63" spans="1:18" x14ac:dyDescent="0.3">
      <c r="A63" t="s">
        <v>93</v>
      </c>
      <c r="B63" s="1" t="b">
        <f>OR(IFERROR(MATCH($A63,Table1[Locode],0)&gt;0,FALSE))</f>
        <v>1</v>
      </c>
      <c r="C63" s="2" t="str">
        <f>IF(Table2[[#This Row],[Val_count]],Table2[[#This Row],[Sel_port]],Table2[[#This Row],[up]])</f>
        <v>CNNSA</v>
      </c>
      <c r="D63">
        <f>INDEX(Table1[PortCallCostFixed],MATCH(Table2[[#This Row],[Copy From]],Table1[Locode],0))</f>
        <v>3573</v>
      </c>
      <c r="E63">
        <f>INT(INDEX(Table1[PortCallCostPerFFE],MATCH(Table2[[#This Row],[Copy From]],Table1[Locode],0))/2)</f>
        <v>3</v>
      </c>
      <c r="F63">
        <f>Table2[[#This Row],[fp]]+Table2[[#This Row],[vp]]*1500</f>
        <v>8073</v>
      </c>
      <c r="G63">
        <f>Table2[[#This Row],[fp]]+Table2[[#This Row],[vp]]*5000</f>
        <v>18573</v>
      </c>
      <c r="H63">
        <f>Table2[[#This Row],[fp]]+Table2[[#This Row],[vp]]*10000</f>
        <v>33573</v>
      </c>
      <c r="I63">
        <f>Table2[[#This Row],[fp]]+Table2[[#This Row],[vp]]*18000</f>
        <v>57573</v>
      </c>
      <c r="J63">
        <f>INT(INDEX(Table1[CostPerFULL],MATCH(Table2[[#This Row],[Copy From]],Table1[Locode],0))/2)</f>
        <v>67</v>
      </c>
      <c r="K63">
        <f>INT(INDEX(Table1[CostPerFULLTrnsf],MATCH(Table2[[#This Row],[Copy From]],Table1[Locode],0))/2)</f>
        <v>45</v>
      </c>
      <c r="L63" s="2"/>
      <c r="O63" t="s">
        <v>152</v>
      </c>
    </row>
    <row r="64" spans="1:18" x14ac:dyDescent="0.3">
      <c r="A64" t="s">
        <v>181</v>
      </c>
      <c r="B64" s="1" t="b">
        <f>OR(IFERROR(MATCH($A64,Table1[Locode],0)&gt;0,FALSE))</f>
        <v>1</v>
      </c>
      <c r="C64" s="2" t="str">
        <f>IF(Table2[[#This Row],[Val_count]],Table2[[#This Row],[Sel_port]],Table2[[#This Row],[up]])</f>
        <v>CNQDG</v>
      </c>
      <c r="D64">
        <f>INDEX(Table1[PortCallCostFixed],MATCH(Table2[[#This Row],[Copy From]],Table1[Locode],0))</f>
        <v>6813</v>
      </c>
      <c r="E64">
        <f>INT(INDEX(Table1[PortCallCostPerFFE],MATCH(Table2[[#This Row],[Copy From]],Table1[Locode],0))/2)</f>
        <v>2</v>
      </c>
      <c r="F64">
        <f>Table2[[#This Row],[fp]]+Table2[[#This Row],[vp]]*1500</f>
        <v>9813</v>
      </c>
      <c r="G64">
        <f>Table2[[#This Row],[fp]]+Table2[[#This Row],[vp]]*5000</f>
        <v>16813</v>
      </c>
      <c r="H64">
        <f>Table2[[#This Row],[fp]]+Table2[[#This Row],[vp]]*10000</f>
        <v>26813</v>
      </c>
      <c r="I64">
        <f>Table2[[#This Row],[fp]]+Table2[[#This Row],[vp]]*18000</f>
        <v>42813</v>
      </c>
      <c r="J64">
        <f>INT(INDEX(Table1[CostPerFULL],MATCH(Table2[[#This Row],[Copy From]],Table1[Locode],0))/2)</f>
        <v>62</v>
      </c>
      <c r="K64">
        <f>INT(INDEX(Table1[CostPerFULLTrnsf],MATCH(Table2[[#This Row],[Copy From]],Table1[Locode],0))/2)</f>
        <v>12</v>
      </c>
      <c r="L64" s="2"/>
      <c r="O64" t="s">
        <v>77</v>
      </c>
    </row>
    <row r="65" spans="1:15" x14ac:dyDescent="0.3">
      <c r="A65" t="s">
        <v>179</v>
      </c>
      <c r="B65" s="1" t="b">
        <f>OR(IFERROR(MATCH($A65,Table1[Locode],0)&gt;0,FALSE))</f>
        <v>0</v>
      </c>
      <c r="C65" s="2" t="str">
        <f>IF(Table2[[#This Row],[Val_count]],Table2[[#This Row],[Sel_port]],Table2[[#This Row],[up]])</f>
        <v>CNNSA</v>
      </c>
      <c r="D65">
        <f>INDEX(Table1[PortCallCostFixed],MATCH(Table2[[#This Row],[Copy From]],Table1[Locode],0))</f>
        <v>3573</v>
      </c>
      <c r="E65">
        <f>INT(INDEX(Table1[PortCallCostPerFFE],MATCH(Table2[[#This Row],[Copy From]],Table1[Locode],0))/2)</f>
        <v>3</v>
      </c>
      <c r="F65">
        <f>Table2[[#This Row],[fp]]+Table2[[#This Row],[vp]]*1500</f>
        <v>8073</v>
      </c>
      <c r="G65">
        <f>Table2[[#This Row],[fp]]+Table2[[#This Row],[vp]]*5000</f>
        <v>18573</v>
      </c>
      <c r="H65">
        <f>Table2[[#This Row],[fp]]+Table2[[#This Row],[vp]]*10000</f>
        <v>33573</v>
      </c>
      <c r="I65">
        <f>Table2[[#This Row],[fp]]+Table2[[#This Row],[vp]]*18000</f>
        <v>57573</v>
      </c>
      <c r="J65">
        <f>INT(INDEX(Table1[CostPerFULL],MATCH(Table2[[#This Row],[Copy From]],Table1[Locode],0))/2)</f>
        <v>67</v>
      </c>
      <c r="K65">
        <f>INT(INDEX(Table1[CostPerFULLTrnsf],MATCH(Table2[[#This Row],[Copy From]],Table1[Locode],0))/2)</f>
        <v>45</v>
      </c>
      <c r="L65" t="s">
        <v>93</v>
      </c>
      <c r="O65" t="s">
        <v>39</v>
      </c>
    </row>
    <row r="66" spans="1:15" x14ac:dyDescent="0.3">
      <c r="A66" t="s">
        <v>183</v>
      </c>
      <c r="B66" s="1" t="b">
        <f>OR(IFERROR(MATCH($A66,Table1[Locode],0)&gt;0,FALSE))</f>
        <v>1</v>
      </c>
      <c r="C66" s="2" t="str">
        <f>IF(Table2[[#This Row],[Val_count]],Table2[[#This Row],[Sel_port]],Table2[[#This Row],[up]])</f>
        <v>CNSHG</v>
      </c>
      <c r="D66">
        <f>INDEX(Table1[PortCallCostFixed],MATCH(Table2[[#This Row],[Copy From]],Table1[Locode],0))</f>
        <v>6497</v>
      </c>
      <c r="E66">
        <f>INT(INDEX(Table1[PortCallCostPerFFE],MATCH(Table2[[#This Row],[Copy From]],Table1[Locode],0))/2)</f>
        <v>3</v>
      </c>
      <c r="F66">
        <f>Table2[[#This Row],[fp]]+Table2[[#This Row],[vp]]*1500</f>
        <v>10997</v>
      </c>
      <c r="G66">
        <f>Table2[[#This Row],[fp]]+Table2[[#This Row],[vp]]*5000</f>
        <v>21497</v>
      </c>
      <c r="H66">
        <f>Table2[[#This Row],[fp]]+Table2[[#This Row],[vp]]*10000</f>
        <v>36497</v>
      </c>
      <c r="I66">
        <f>Table2[[#This Row],[fp]]+Table2[[#This Row],[vp]]*18000</f>
        <v>60497</v>
      </c>
      <c r="J66">
        <f>INT(INDEX(Table1[CostPerFULL],MATCH(Table2[[#This Row],[Copy From]],Table1[Locode],0))/2)</f>
        <v>75</v>
      </c>
      <c r="K66">
        <f>INT(INDEX(Table1[CostPerFULLTrnsf],MATCH(Table2[[#This Row],[Copy From]],Table1[Locode],0))/2)</f>
        <v>31</v>
      </c>
      <c r="L66" s="2"/>
      <c r="O66" t="s">
        <v>193</v>
      </c>
    </row>
    <row r="67" spans="1:15" x14ac:dyDescent="0.3">
      <c r="A67" t="s">
        <v>109</v>
      </c>
      <c r="B67" s="1" t="b">
        <f>OR(IFERROR(MATCH($A67,Table1[Locode],0)&gt;0,FALSE))</f>
        <v>1</v>
      </c>
      <c r="C67" s="2" t="str">
        <f>IF(Table2[[#This Row],[Val_count]],Table2[[#This Row],[Sel_port]],Table2[[#This Row],[up]])</f>
        <v>CNSHK</v>
      </c>
      <c r="D67">
        <f>INDEX(Table1[PortCallCostFixed],MATCH(Table2[[#This Row],[Copy From]],Table1[Locode],0))</f>
        <v>11193</v>
      </c>
      <c r="E67">
        <f>INT(INDEX(Table1[PortCallCostPerFFE],MATCH(Table2[[#This Row],[Copy From]],Table1[Locode],0))/2)</f>
        <v>3</v>
      </c>
      <c r="F67">
        <f>Table2[[#This Row],[fp]]+Table2[[#This Row],[vp]]*1500</f>
        <v>15693</v>
      </c>
      <c r="G67">
        <f>Table2[[#This Row],[fp]]+Table2[[#This Row],[vp]]*5000</f>
        <v>26193</v>
      </c>
      <c r="H67">
        <f>Table2[[#This Row],[fp]]+Table2[[#This Row],[vp]]*10000</f>
        <v>41193</v>
      </c>
      <c r="I67">
        <f>Table2[[#This Row],[fp]]+Table2[[#This Row],[vp]]*18000</f>
        <v>65193</v>
      </c>
      <c r="J67">
        <f>INT(INDEX(Table1[CostPerFULL],MATCH(Table2[[#This Row],[Copy From]],Table1[Locode],0))/2)</f>
        <v>106</v>
      </c>
      <c r="K67">
        <f>INT(INDEX(Table1[CostPerFULLTrnsf],MATCH(Table2[[#This Row],[Copy From]],Table1[Locode],0))/2)</f>
        <v>39</v>
      </c>
      <c r="L67" s="2"/>
      <c r="O67" t="s">
        <v>71</v>
      </c>
    </row>
    <row r="68" spans="1:15" x14ac:dyDescent="0.3">
      <c r="A68" t="s">
        <v>55</v>
      </c>
      <c r="B68" s="1" t="b">
        <f>OR(IFERROR(MATCH($A68,Table1[Locode],0)&gt;0,FALSE))</f>
        <v>1</v>
      </c>
      <c r="C68" s="2" t="str">
        <f>IF(Table2[[#This Row],[Val_count]],Table2[[#This Row],[Sel_port]],Table2[[#This Row],[up]])</f>
        <v>CNTXG</v>
      </c>
      <c r="D68">
        <f>INDEX(Table1[PortCallCostFixed],MATCH(Table2[[#This Row],[Copy From]],Table1[Locode],0))</f>
        <v>5922</v>
      </c>
      <c r="E68">
        <f>INT(INDEX(Table1[PortCallCostPerFFE],MATCH(Table2[[#This Row],[Copy From]],Table1[Locode],0))/2)</f>
        <v>2</v>
      </c>
      <c r="F68">
        <f>Table2[[#This Row],[fp]]+Table2[[#This Row],[vp]]*1500</f>
        <v>8922</v>
      </c>
      <c r="G68">
        <f>Table2[[#This Row],[fp]]+Table2[[#This Row],[vp]]*5000</f>
        <v>15922</v>
      </c>
      <c r="H68">
        <f>Table2[[#This Row],[fp]]+Table2[[#This Row],[vp]]*10000</f>
        <v>25922</v>
      </c>
      <c r="I68">
        <f>Table2[[#This Row],[fp]]+Table2[[#This Row],[vp]]*18000</f>
        <v>41922</v>
      </c>
      <c r="J68">
        <f>INT(INDEX(Table1[CostPerFULL],MATCH(Table2[[#This Row],[Copy From]],Table1[Locode],0))/2)</f>
        <v>86</v>
      </c>
      <c r="K68">
        <f>INT(INDEX(Table1[CostPerFULLTrnsf],MATCH(Table2[[#This Row],[Copy From]],Table1[Locode],0))/2)</f>
        <v>24</v>
      </c>
      <c r="L68" s="2"/>
      <c r="O68" t="s">
        <v>128</v>
      </c>
    </row>
    <row r="69" spans="1:15" x14ac:dyDescent="0.3">
      <c r="A69" t="s">
        <v>180</v>
      </c>
      <c r="B69" s="1" t="b">
        <f>OR(IFERROR(MATCH($A69,Table1[Locode],0)&gt;0,FALSE))</f>
        <v>1</v>
      </c>
      <c r="C69" s="2" t="str">
        <f>IF(Table2[[#This Row],[Val_count]],Table2[[#This Row],[Sel_port]],Table2[[#This Row],[up]])</f>
        <v>CNXMG</v>
      </c>
      <c r="D69">
        <f>INDEX(Table1[PortCallCostFixed],MATCH(Table2[[#This Row],[Copy From]],Table1[Locode],0))</f>
        <v>5267</v>
      </c>
      <c r="E69">
        <f>INT(INDEX(Table1[PortCallCostPerFFE],MATCH(Table2[[#This Row],[Copy From]],Table1[Locode],0))/2)</f>
        <v>2</v>
      </c>
      <c r="F69">
        <f>Table2[[#This Row],[fp]]+Table2[[#This Row],[vp]]*1500</f>
        <v>8267</v>
      </c>
      <c r="G69">
        <f>Table2[[#This Row],[fp]]+Table2[[#This Row],[vp]]*5000</f>
        <v>15267</v>
      </c>
      <c r="H69">
        <f>Table2[[#This Row],[fp]]+Table2[[#This Row],[vp]]*10000</f>
        <v>25267</v>
      </c>
      <c r="I69">
        <f>Table2[[#This Row],[fp]]+Table2[[#This Row],[vp]]*18000</f>
        <v>41267</v>
      </c>
      <c r="J69">
        <f>INT(INDEX(Table1[CostPerFULL],MATCH(Table2[[#This Row],[Copy From]],Table1[Locode],0))/2)</f>
        <v>54</v>
      </c>
      <c r="K69">
        <f>INT(INDEX(Table1[CostPerFULLTrnsf],MATCH(Table2[[#This Row],[Copy From]],Table1[Locode],0))/2)</f>
        <v>28</v>
      </c>
      <c r="L69" s="2"/>
      <c r="O69" t="s">
        <v>118</v>
      </c>
    </row>
    <row r="70" spans="1:15" x14ac:dyDescent="0.3">
      <c r="A70" t="s">
        <v>178</v>
      </c>
      <c r="B70" s="1" t="b">
        <f>OR(IFERROR(MATCH($A70,Table1[Locode],0)&gt;0,FALSE))</f>
        <v>0</v>
      </c>
      <c r="C70" s="2" t="str">
        <f>IF(Table2[[#This Row],[Val_count]],Table2[[#This Row],[Sel_port]],Table2[[#This Row],[up]])</f>
        <v>CNTXG</v>
      </c>
      <c r="D70">
        <f>INDEX(Table1[PortCallCostFixed],MATCH(Table2[[#This Row],[Copy From]],Table1[Locode],0))</f>
        <v>5922</v>
      </c>
      <c r="E70">
        <f>INT(INDEX(Table1[PortCallCostPerFFE],MATCH(Table2[[#This Row],[Copy From]],Table1[Locode],0))/2)</f>
        <v>2</v>
      </c>
      <c r="F70">
        <f>Table2[[#This Row],[fp]]+Table2[[#This Row],[vp]]*1500</f>
        <v>8922</v>
      </c>
      <c r="G70">
        <f>Table2[[#This Row],[fp]]+Table2[[#This Row],[vp]]*5000</f>
        <v>15922</v>
      </c>
      <c r="H70">
        <f>Table2[[#This Row],[fp]]+Table2[[#This Row],[vp]]*10000</f>
        <v>25922</v>
      </c>
      <c r="I70">
        <f>Table2[[#This Row],[fp]]+Table2[[#This Row],[vp]]*18000</f>
        <v>41922</v>
      </c>
      <c r="J70">
        <f>INT(INDEX(Table1[CostPerFULL],MATCH(Table2[[#This Row],[Copy From]],Table1[Locode],0))/2)</f>
        <v>86</v>
      </c>
      <c r="K70">
        <f>INT(INDEX(Table1[CostPerFULLTrnsf],MATCH(Table2[[#This Row],[Copy From]],Table1[Locode],0))/2)</f>
        <v>24</v>
      </c>
      <c r="L70" t="s">
        <v>55</v>
      </c>
      <c r="O70" t="s">
        <v>64</v>
      </c>
    </row>
    <row r="71" spans="1:15" x14ac:dyDescent="0.3">
      <c r="A71" t="s">
        <v>53</v>
      </c>
      <c r="B71" s="1" t="b">
        <f>OR(IFERROR(MATCH($A71,Table1[Locode],0)&gt;0,FALSE))</f>
        <v>1</v>
      </c>
      <c r="C71" s="2" t="str">
        <f>IF(Table2[[#This Row],[Val_count]],Table2[[#This Row],[Sel_port]],Table2[[#This Row],[up]])</f>
        <v>CNYTN</v>
      </c>
      <c r="D71">
        <f>INDEX(Table1[PortCallCostFixed],MATCH(Table2[[#This Row],[Copy From]],Table1[Locode],0))</f>
        <v>7220</v>
      </c>
      <c r="E71">
        <f>INT(INDEX(Table1[PortCallCostPerFFE],MATCH(Table2[[#This Row],[Copy From]],Table1[Locode],0))/2)</f>
        <v>2</v>
      </c>
      <c r="F71">
        <f>Table2[[#This Row],[fp]]+Table2[[#This Row],[vp]]*1500</f>
        <v>10220</v>
      </c>
      <c r="G71">
        <f>Table2[[#This Row],[fp]]+Table2[[#This Row],[vp]]*5000</f>
        <v>17220</v>
      </c>
      <c r="H71">
        <f>Table2[[#This Row],[fp]]+Table2[[#This Row],[vp]]*10000</f>
        <v>27220</v>
      </c>
      <c r="I71">
        <f>Table2[[#This Row],[fp]]+Table2[[#This Row],[vp]]*18000</f>
        <v>43220</v>
      </c>
      <c r="J71">
        <f>INT(INDEX(Table1[CostPerFULL],MATCH(Table2[[#This Row],[Copy From]],Table1[Locode],0))/2)</f>
        <v>88</v>
      </c>
      <c r="K71">
        <f>INT(INDEX(Table1[CostPerFULLTrnsf],MATCH(Table2[[#This Row],[Copy From]],Table1[Locode],0))/2)</f>
        <v>39</v>
      </c>
      <c r="L71" s="2"/>
      <c r="O71" t="s">
        <v>144</v>
      </c>
    </row>
    <row r="72" spans="1:15" x14ac:dyDescent="0.3">
      <c r="A72" t="s">
        <v>43</v>
      </c>
      <c r="B72" s="1" t="b">
        <f>OR(IFERROR(MATCH($A72,Table1[Locode],0)&gt;0,FALSE))</f>
        <v>1</v>
      </c>
      <c r="C72" s="2" t="str">
        <f>IF(Table2[[#This Row],[Val_count]],Table2[[#This Row],[Sel_port]],Table2[[#This Row],[up]])</f>
        <v>HKHKG</v>
      </c>
      <c r="D72">
        <f>INDEX(Table1[PortCallCostFixed],MATCH(Table2[[#This Row],[Copy From]],Table1[Locode],0))</f>
        <v>6809</v>
      </c>
      <c r="E72">
        <f>INT(INDEX(Table1[PortCallCostPerFFE],MATCH(Table2[[#This Row],[Copy From]],Table1[Locode],0))/2)</f>
        <v>1</v>
      </c>
      <c r="F72">
        <f>Table2[[#This Row],[fp]]+Table2[[#This Row],[vp]]*1500</f>
        <v>8309</v>
      </c>
      <c r="G72">
        <f>Table2[[#This Row],[fp]]+Table2[[#This Row],[vp]]*5000</f>
        <v>11809</v>
      </c>
      <c r="H72">
        <f>Table2[[#This Row],[fp]]+Table2[[#This Row],[vp]]*10000</f>
        <v>16809</v>
      </c>
      <c r="I72">
        <f>Table2[[#This Row],[fp]]+Table2[[#This Row],[vp]]*18000</f>
        <v>24809</v>
      </c>
      <c r="J72">
        <f>INT(INDEX(Table1[CostPerFULL],MATCH(Table2[[#This Row],[Copy From]],Table1[Locode],0))/2)</f>
        <v>128</v>
      </c>
      <c r="K72">
        <f>INT(INDEX(Table1[CostPerFULLTrnsf],MATCH(Table2[[#This Row],[Copy From]],Table1[Locode],0))/2)</f>
        <v>46</v>
      </c>
      <c r="L72" s="2"/>
      <c r="O72" t="s">
        <v>106</v>
      </c>
    </row>
    <row r="73" spans="1:15" x14ac:dyDescent="0.3">
      <c r="A73" t="s">
        <v>163</v>
      </c>
      <c r="B73" s="1" t="b">
        <f>OR(IFERROR(MATCH($A73,Table1[Locode],0)&gt;0,FALSE))</f>
        <v>1</v>
      </c>
      <c r="C73" s="2" t="str">
        <f>IF(Table2[[#This Row],[Val_count]],Table2[[#This Row],[Sel_port]],Table2[[#This Row],[up]])</f>
        <v>IDJKT</v>
      </c>
      <c r="D73">
        <f>INDEX(Table1[PortCallCostFixed],MATCH(Table2[[#This Row],[Copy From]],Table1[Locode],0))</f>
        <v>2999</v>
      </c>
      <c r="E73">
        <f>INT(INDEX(Table1[PortCallCostPerFFE],MATCH(Table2[[#This Row],[Copy From]],Table1[Locode],0))/2)</f>
        <v>3</v>
      </c>
      <c r="F73">
        <f>Table2[[#This Row],[fp]]+Table2[[#This Row],[vp]]*1500</f>
        <v>7499</v>
      </c>
      <c r="G73">
        <f>Table2[[#This Row],[fp]]+Table2[[#This Row],[vp]]*5000</f>
        <v>17999</v>
      </c>
      <c r="H73">
        <f>Table2[[#This Row],[fp]]+Table2[[#This Row],[vp]]*10000</f>
        <v>32999</v>
      </c>
      <c r="I73">
        <f>Table2[[#This Row],[fp]]+Table2[[#This Row],[vp]]*18000</f>
        <v>56999</v>
      </c>
      <c r="J73">
        <f>INT(INDEX(Table1[CostPerFULL],MATCH(Table2[[#This Row],[Copy From]],Table1[Locode],0))/2)</f>
        <v>67</v>
      </c>
      <c r="K73">
        <f>INT(INDEX(Table1[CostPerFULLTrnsf],MATCH(Table2[[#This Row],[Copy From]],Table1[Locode],0))/2)</f>
        <v>31</v>
      </c>
      <c r="L73" s="2"/>
      <c r="O73" t="s">
        <v>148</v>
      </c>
    </row>
    <row r="74" spans="1:15" x14ac:dyDescent="0.3">
      <c r="A74" t="s">
        <v>133</v>
      </c>
      <c r="B74" s="1" t="b">
        <f>OR(IFERROR(MATCH($A74,Table1[Locode],0)&gt;0,FALSE))</f>
        <v>1</v>
      </c>
      <c r="C74" s="2" t="str">
        <f>IF(Table2[[#This Row],[Val_count]],Table2[[#This Row],[Sel_port]],Table2[[#This Row],[up]])</f>
        <v>IDSRG</v>
      </c>
      <c r="D74">
        <f>INDEX(Table1[PortCallCostFixed],MATCH(Table2[[#This Row],[Copy From]],Table1[Locode],0))</f>
        <v>2926</v>
      </c>
      <c r="E74">
        <f>INT(INDEX(Table1[PortCallCostPerFFE],MATCH(Table2[[#This Row],[Copy From]],Table1[Locode],0))/2)</f>
        <v>5</v>
      </c>
      <c r="F74">
        <f>Table2[[#This Row],[fp]]+Table2[[#This Row],[vp]]*1500</f>
        <v>10426</v>
      </c>
      <c r="G74">
        <f>Table2[[#This Row],[fp]]+Table2[[#This Row],[vp]]*5000</f>
        <v>27926</v>
      </c>
      <c r="H74">
        <f>Table2[[#This Row],[fp]]+Table2[[#This Row],[vp]]*10000</f>
        <v>52926</v>
      </c>
      <c r="I74">
        <f>Table2[[#This Row],[fp]]+Table2[[#This Row],[vp]]*18000</f>
        <v>92926</v>
      </c>
      <c r="J74">
        <f>INT(INDEX(Table1[CostPerFULL],MATCH(Table2[[#This Row],[Copy From]],Table1[Locode],0))/2)</f>
        <v>67</v>
      </c>
      <c r="K74">
        <f>INT(INDEX(Table1[CostPerFULLTrnsf],MATCH(Table2[[#This Row],[Copy From]],Table1[Locode],0))/2)</f>
        <v>40</v>
      </c>
      <c r="L74" s="2"/>
    </row>
    <row r="75" spans="1:15" x14ac:dyDescent="0.3">
      <c r="A75" t="s">
        <v>123</v>
      </c>
      <c r="B75" s="1" t="b">
        <f>OR(IFERROR(MATCH($A75,Table1[Locode],0)&gt;0,FALSE))</f>
        <v>1</v>
      </c>
      <c r="C75" s="2" t="str">
        <f>IF(Table2[[#This Row],[Val_count]],Table2[[#This Row],[Sel_port]],Table2[[#This Row],[up]])</f>
        <v>IDSUB</v>
      </c>
      <c r="D75">
        <f>INDEX(Table1[PortCallCostFixed],MATCH(Table2[[#This Row],[Copy From]],Table1[Locode],0))</f>
        <v>884</v>
      </c>
      <c r="E75">
        <f>INT(INDEX(Table1[PortCallCostPerFFE],MATCH(Table2[[#This Row],[Copy From]],Table1[Locode],0))/2)</f>
        <v>2</v>
      </c>
      <c r="F75">
        <f>Table2[[#This Row],[fp]]+Table2[[#This Row],[vp]]*1500</f>
        <v>3884</v>
      </c>
      <c r="G75">
        <f>Table2[[#This Row],[fp]]+Table2[[#This Row],[vp]]*5000</f>
        <v>10884</v>
      </c>
      <c r="H75">
        <f>Table2[[#This Row],[fp]]+Table2[[#This Row],[vp]]*10000</f>
        <v>20884</v>
      </c>
      <c r="I75">
        <f>Table2[[#This Row],[fp]]+Table2[[#This Row],[vp]]*18000</f>
        <v>36884</v>
      </c>
      <c r="J75">
        <f>INT(INDEX(Table1[CostPerFULL],MATCH(Table2[[#This Row],[Copy From]],Table1[Locode],0))/2)</f>
        <v>92</v>
      </c>
      <c r="K75">
        <f>INT(INDEX(Table1[CostPerFULLTrnsf],MATCH(Table2[[#This Row],[Copy From]],Table1[Locode],0))/2)</f>
        <v>1</v>
      </c>
      <c r="L75" s="2"/>
    </row>
    <row r="76" spans="1:15" x14ac:dyDescent="0.3">
      <c r="A76" t="s">
        <v>167</v>
      </c>
      <c r="B76" s="1" t="b">
        <f>OR(IFERROR(MATCH($A76,Table1[Locode],0)&gt;0,FALSE))</f>
        <v>1</v>
      </c>
      <c r="C76" s="2" t="str">
        <f>IF(Table2[[#This Row],[Val_count]],Table2[[#This Row],[Sel_port]],Table2[[#This Row],[up]])</f>
        <v>INCCU</v>
      </c>
      <c r="D76">
        <f>INDEX(Table1[PortCallCostFixed],MATCH(Table2[[#This Row],[Copy From]],Table1[Locode],0))</f>
        <v>6796</v>
      </c>
      <c r="E76">
        <f>INT(INDEX(Table1[PortCallCostPerFFE],MATCH(Table2[[#This Row],[Copy From]],Table1[Locode],0))/2)</f>
        <v>19</v>
      </c>
      <c r="F76">
        <f>Table2[[#This Row],[fp]]+Table2[[#This Row],[vp]]*1500</f>
        <v>35296</v>
      </c>
      <c r="G76">
        <f>Table2[[#This Row],[fp]]+Table2[[#This Row],[vp]]*5000</f>
        <v>101796</v>
      </c>
      <c r="H76">
        <f>Table2[[#This Row],[fp]]+Table2[[#This Row],[vp]]*10000</f>
        <v>196796</v>
      </c>
      <c r="I76">
        <f>Table2[[#This Row],[fp]]+Table2[[#This Row],[vp]]*18000</f>
        <v>348796</v>
      </c>
      <c r="J76">
        <f>INT(INDEX(Table1[CostPerFULL],MATCH(Table2[[#This Row],[Copy From]],Table1[Locode],0))/2)</f>
        <v>10</v>
      </c>
      <c r="K76">
        <f>INT(INDEX(Table1[CostPerFULLTrnsf],MATCH(Table2[[#This Row],[Copy From]],Table1[Locode],0))/2)</f>
        <v>29</v>
      </c>
      <c r="L76" s="2"/>
    </row>
    <row r="77" spans="1:15" x14ac:dyDescent="0.3">
      <c r="A77" t="s">
        <v>111</v>
      </c>
      <c r="B77" s="1" t="b">
        <f>OR(IFERROR(MATCH($A77,Table1[Locode],0)&gt;0,FALSE))</f>
        <v>1</v>
      </c>
      <c r="C77" s="2" t="str">
        <f>IF(Table2[[#This Row],[Val_count]],Table2[[#This Row],[Sel_port]],Table2[[#This Row],[up]])</f>
        <v>INCOK</v>
      </c>
      <c r="D77">
        <f>INDEX(Table1[PortCallCostFixed],MATCH(Table2[[#This Row],[Copy From]],Table1[Locode],0))</f>
        <v>7383</v>
      </c>
      <c r="E77">
        <f>INT(INDEX(Table1[PortCallCostPerFFE],MATCH(Table2[[#This Row],[Copy From]],Table1[Locode],0))/2)</f>
        <v>1</v>
      </c>
      <c r="F77">
        <f>Table2[[#This Row],[fp]]+Table2[[#This Row],[vp]]*1500</f>
        <v>8883</v>
      </c>
      <c r="G77">
        <f>Table2[[#This Row],[fp]]+Table2[[#This Row],[vp]]*5000</f>
        <v>12383</v>
      </c>
      <c r="H77">
        <f>Table2[[#This Row],[fp]]+Table2[[#This Row],[vp]]*10000</f>
        <v>17383</v>
      </c>
      <c r="I77">
        <f>Table2[[#This Row],[fp]]+Table2[[#This Row],[vp]]*18000</f>
        <v>25383</v>
      </c>
      <c r="J77">
        <f>INT(INDEX(Table1[CostPerFULL],MATCH(Table2[[#This Row],[Copy From]],Table1[Locode],0))/2)</f>
        <v>83</v>
      </c>
      <c r="K77">
        <f>INT(INDEX(Table1[CostPerFULLTrnsf],MATCH(Table2[[#This Row],[Copy From]],Table1[Locode],0))/2)</f>
        <v>28</v>
      </c>
      <c r="L77" s="2"/>
    </row>
    <row r="78" spans="1:15" x14ac:dyDescent="0.3">
      <c r="A78" t="s">
        <v>184</v>
      </c>
      <c r="B78" s="1" t="b">
        <f>OR(IFERROR(MATCH($A78,Table1[Locode],0)&gt;0,FALSE))</f>
        <v>0</v>
      </c>
      <c r="C78" s="2" t="str">
        <f>IF(Table2[[#This Row],[Val_count]],Table2[[#This Row],[Sel_port]],Table2[[#This Row],[up]])</f>
        <v>INCCU</v>
      </c>
      <c r="D78">
        <f>INDEX(Table1[PortCallCostFixed],MATCH(Table2[[#This Row],[Copy From]],Table1[Locode],0))</f>
        <v>6796</v>
      </c>
      <c r="E78">
        <f>INT(INDEX(Table1[PortCallCostPerFFE],MATCH(Table2[[#This Row],[Copy From]],Table1[Locode],0))/2)</f>
        <v>19</v>
      </c>
      <c r="F78">
        <f>Table2[[#This Row],[fp]]+Table2[[#This Row],[vp]]*1500</f>
        <v>35296</v>
      </c>
      <c r="G78">
        <f>Table2[[#This Row],[fp]]+Table2[[#This Row],[vp]]*5000</f>
        <v>101796</v>
      </c>
      <c r="H78">
        <f>Table2[[#This Row],[fp]]+Table2[[#This Row],[vp]]*10000</f>
        <v>196796</v>
      </c>
      <c r="I78">
        <f>Table2[[#This Row],[fp]]+Table2[[#This Row],[vp]]*18000</f>
        <v>348796</v>
      </c>
      <c r="J78">
        <f>INT(INDEX(Table1[CostPerFULL],MATCH(Table2[[#This Row],[Copy From]],Table1[Locode],0))/2)</f>
        <v>10</v>
      </c>
      <c r="K78">
        <f>INT(INDEX(Table1[CostPerFULLTrnsf],MATCH(Table2[[#This Row],[Copy From]],Table1[Locode],0))/2)</f>
        <v>29</v>
      </c>
      <c r="L78" t="s">
        <v>167</v>
      </c>
    </row>
    <row r="79" spans="1:15" x14ac:dyDescent="0.3">
      <c r="A79" t="s">
        <v>186</v>
      </c>
      <c r="B79" s="1" t="b">
        <f>OR(IFERROR(MATCH($A79,Table1[Locode],0)&gt;0,FALSE))</f>
        <v>0</v>
      </c>
      <c r="C79" s="2" t="str">
        <f>IF(Table2[[#This Row],[Val_count]],Table2[[#This Row],[Sel_port]],Table2[[#This Row],[up]])</f>
        <v>INPAV</v>
      </c>
      <c r="D79">
        <f>INDEX(Table1[PortCallCostFixed],MATCH(Table2[[#This Row],[Copy From]],Table1[Locode],0))</f>
        <v>4372</v>
      </c>
      <c r="E79">
        <f>INT(INDEX(Table1[PortCallCostPerFFE],MATCH(Table2[[#This Row],[Copy From]],Table1[Locode],0))/2)</f>
        <v>2</v>
      </c>
      <c r="F79">
        <f>Table2[[#This Row],[fp]]+Table2[[#This Row],[vp]]*1500</f>
        <v>7372</v>
      </c>
      <c r="G79">
        <f>Table2[[#This Row],[fp]]+Table2[[#This Row],[vp]]*5000</f>
        <v>14372</v>
      </c>
      <c r="H79">
        <f>Table2[[#This Row],[fp]]+Table2[[#This Row],[vp]]*10000</f>
        <v>24372</v>
      </c>
      <c r="I79">
        <f>Table2[[#This Row],[fp]]+Table2[[#This Row],[vp]]*18000</f>
        <v>40372</v>
      </c>
      <c r="J79">
        <f>INT(INDEX(Table1[CostPerFULL],MATCH(Table2[[#This Row],[Copy From]],Table1[Locode],0))/2)</f>
        <v>104</v>
      </c>
      <c r="K79">
        <f>INT(INDEX(Table1[CostPerFULLTrnsf],MATCH(Table2[[#This Row],[Copy From]],Table1[Locode],0))/2)</f>
        <v>4</v>
      </c>
      <c r="L79" t="s">
        <v>83</v>
      </c>
    </row>
    <row r="80" spans="1:15" x14ac:dyDescent="0.3">
      <c r="A80" t="s">
        <v>91</v>
      </c>
      <c r="B80" s="1" t="b">
        <f>OR(IFERROR(MATCH($A80,Table1[Locode],0)&gt;0,FALSE))</f>
        <v>1</v>
      </c>
      <c r="C80" s="2" t="str">
        <f>IF(Table2[[#This Row],[Val_count]],Table2[[#This Row],[Sel_port]],Table2[[#This Row],[up]])</f>
        <v>INMAA</v>
      </c>
      <c r="D80">
        <f>INDEX(Table1[PortCallCostFixed],MATCH(Table2[[#This Row],[Copy From]],Table1[Locode],0))</f>
        <v>820</v>
      </c>
      <c r="E80">
        <f>INT(INDEX(Table1[PortCallCostPerFFE],MATCH(Table2[[#This Row],[Copy From]],Table1[Locode],0))/2)</f>
        <v>4</v>
      </c>
      <c r="F80">
        <f>Table2[[#This Row],[fp]]+Table2[[#This Row],[vp]]*1500</f>
        <v>6820</v>
      </c>
      <c r="G80">
        <f>Table2[[#This Row],[fp]]+Table2[[#This Row],[vp]]*5000</f>
        <v>20820</v>
      </c>
      <c r="H80">
        <f>Table2[[#This Row],[fp]]+Table2[[#This Row],[vp]]*10000</f>
        <v>40820</v>
      </c>
      <c r="I80">
        <f>Table2[[#This Row],[fp]]+Table2[[#This Row],[vp]]*18000</f>
        <v>72820</v>
      </c>
      <c r="J80">
        <f>INT(INDEX(Table1[CostPerFULL],MATCH(Table2[[#This Row],[Copy From]],Table1[Locode],0))/2)</f>
        <v>74</v>
      </c>
      <c r="K80">
        <f>INT(INDEX(Table1[CostPerFULLTrnsf],MATCH(Table2[[#This Row],[Copy From]],Table1[Locode],0))/2)</f>
        <v>80</v>
      </c>
      <c r="L80" s="2"/>
    </row>
    <row r="81" spans="1:12" x14ac:dyDescent="0.3">
      <c r="A81" t="s">
        <v>187</v>
      </c>
      <c r="B81" s="1" t="b">
        <f>OR(IFERROR(MATCH($A81,Table1[Locode],0)&gt;0,FALSE))</f>
        <v>1</v>
      </c>
      <c r="C81" s="2" t="str">
        <f>IF(Table2[[#This Row],[Val_count]],Table2[[#This Row],[Sel_port]],Table2[[#This Row],[up]])</f>
        <v>INMUN</v>
      </c>
      <c r="D81">
        <f>INDEX(Table1[PortCallCostFixed],MATCH(Table2[[#This Row],[Copy From]],Table1[Locode],0))</f>
        <v>7513</v>
      </c>
      <c r="E81">
        <f>INT(INDEX(Table1[PortCallCostPerFFE],MATCH(Table2[[#This Row],[Copy From]],Table1[Locode],0))/2)</f>
        <v>19</v>
      </c>
      <c r="F81">
        <f>Table2[[#This Row],[fp]]+Table2[[#This Row],[vp]]*1500</f>
        <v>36013</v>
      </c>
      <c r="G81">
        <f>Table2[[#This Row],[fp]]+Table2[[#This Row],[vp]]*5000</f>
        <v>102513</v>
      </c>
      <c r="H81">
        <f>Table2[[#This Row],[fp]]+Table2[[#This Row],[vp]]*10000</f>
        <v>197513</v>
      </c>
      <c r="I81">
        <f>Table2[[#This Row],[fp]]+Table2[[#This Row],[vp]]*18000</f>
        <v>349513</v>
      </c>
      <c r="J81">
        <f>INT(INDEX(Table1[CostPerFULL],MATCH(Table2[[#This Row],[Copy From]],Table1[Locode],0))/2)</f>
        <v>93</v>
      </c>
      <c r="K81">
        <f>INT(INDEX(Table1[CostPerFULLTrnsf],MATCH(Table2[[#This Row],[Copy From]],Table1[Locode],0))/2)</f>
        <v>38</v>
      </c>
      <c r="L81" s="2"/>
    </row>
    <row r="82" spans="1:12" x14ac:dyDescent="0.3">
      <c r="A82" t="s">
        <v>121</v>
      </c>
      <c r="B82" s="1" t="b">
        <f>OR(IFERROR(MATCH($A82,Table1[Locode],0)&gt;0,FALSE))</f>
        <v>1</v>
      </c>
      <c r="C82" s="2" t="str">
        <f>IF(Table2[[#This Row],[Val_count]],Table2[[#This Row],[Sel_port]],Table2[[#This Row],[up]])</f>
        <v>INNSA</v>
      </c>
      <c r="D82">
        <f>INDEX(Table1[PortCallCostFixed],MATCH(Table2[[#This Row],[Copy From]],Table1[Locode],0))</f>
        <v>6837</v>
      </c>
      <c r="E82">
        <f>INT(INDEX(Table1[PortCallCostPerFFE],MATCH(Table2[[#This Row],[Copy From]],Table1[Locode],0))/2)</f>
        <v>8</v>
      </c>
      <c r="F82">
        <f>Table2[[#This Row],[fp]]+Table2[[#This Row],[vp]]*1500</f>
        <v>18837</v>
      </c>
      <c r="G82">
        <f>Table2[[#This Row],[fp]]+Table2[[#This Row],[vp]]*5000</f>
        <v>46837</v>
      </c>
      <c r="H82">
        <f>Table2[[#This Row],[fp]]+Table2[[#This Row],[vp]]*10000</f>
        <v>86837</v>
      </c>
      <c r="I82">
        <f>Table2[[#This Row],[fp]]+Table2[[#This Row],[vp]]*18000</f>
        <v>150837</v>
      </c>
      <c r="J82">
        <f>INT(INDEX(Table1[CostPerFULL],MATCH(Table2[[#This Row],[Copy From]],Table1[Locode],0))/2)</f>
        <v>100</v>
      </c>
      <c r="K82">
        <f>INT(INDEX(Table1[CostPerFULLTrnsf],MATCH(Table2[[#This Row],[Copy From]],Table1[Locode],0))/2)</f>
        <v>93</v>
      </c>
      <c r="L82" s="2"/>
    </row>
    <row r="83" spans="1:12" x14ac:dyDescent="0.3">
      <c r="A83" t="s">
        <v>83</v>
      </c>
      <c r="B83" s="1" t="b">
        <f>OR(IFERROR(MATCH($A83,Table1[Locode],0)&gt;0,FALSE))</f>
        <v>1</v>
      </c>
      <c r="C83" s="2" t="str">
        <f>IF(Table2[[#This Row],[Val_count]],Table2[[#This Row],[Sel_port]],Table2[[#This Row],[up]])</f>
        <v>INPAV</v>
      </c>
      <c r="D83">
        <f>INDEX(Table1[PortCallCostFixed],MATCH(Table2[[#This Row],[Copy From]],Table1[Locode],0))</f>
        <v>4372</v>
      </c>
      <c r="E83">
        <f>INT(INDEX(Table1[PortCallCostPerFFE],MATCH(Table2[[#This Row],[Copy From]],Table1[Locode],0))/2)</f>
        <v>2</v>
      </c>
      <c r="F83">
        <f>Table2[[#This Row],[fp]]+Table2[[#This Row],[vp]]*1500</f>
        <v>7372</v>
      </c>
      <c r="G83">
        <f>Table2[[#This Row],[fp]]+Table2[[#This Row],[vp]]*5000</f>
        <v>14372</v>
      </c>
      <c r="H83">
        <f>Table2[[#This Row],[fp]]+Table2[[#This Row],[vp]]*10000</f>
        <v>24372</v>
      </c>
      <c r="I83">
        <f>Table2[[#This Row],[fp]]+Table2[[#This Row],[vp]]*18000</f>
        <v>40372</v>
      </c>
      <c r="J83">
        <f>INT(INDEX(Table1[CostPerFULL],MATCH(Table2[[#This Row],[Copy From]],Table1[Locode],0))/2)</f>
        <v>104</v>
      </c>
      <c r="K83">
        <f>INT(INDEX(Table1[CostPerFULLTrnsf],MATCH(Table2[[#This Row],[Copy From]],Table1[Locode],0))/2)</f>
        <v>4</v>
      </c>
      <c r="L83" s="2"/>
    </row>
    <row r="84" spans="1:12" x14ac:dyDescent="0.3">
      <c r="A84" t="s">
        <v>159</v>
      </c>
      <c r="B84" s="1" t="b">
        <f>OR(IFERROR(MATCH($A84,Table1[Locode],0)&gt;0,FALSE))</f>
        <v>0</v>
      </c>
      <c r="C84" s="2" t="str">
        <f>IF(Table2[[#This Row],[Val_count]],Table2[[#This Row],[Sel_port]],Table2[[#This Row],[up]])</f>
        <v>INMAA</v>
      </c>
      <c r="D84">
        <f>INDEX(Table1[PortCallCostFixed],MATCH(Table2[[#This Row],[Copy From]],Table1[Locode],0))</f>
        <v>820</v>
      </c>
      <c r="E84">
        <f>INT(INDEX(Table1[PortCallCostPerFFE],MATCH(Table2[[#This Row],[Copy From]],Table1[Locode],0))/2)</f>
        <v>4</v>
      </c>
      <c r="F84">
        <f>Table2[[#This Row],[fp]]+Table2[[#This Row],[vp]]*1500</f>
        <v>6820</v>
      </c>
      <c r="G84">
        <f>Table2[[#This Row],[fp]]+Table2[[#This Row],[vp]]*5000</f>
        <v>20820</v>
      </c>
      <c r="H84">
        <f>Table2[[#This Row],[fp]]+Table2[[#This Row],[vp]]*10000</f>
        <v>40820</v>
      </c>
      <c r="I84">
        <f>Table2[[#This Row],[fp]]+Table2[[#This Row],[vp]]*18000</f>
        <v>72820</v>
      </c>
      <c r="J84">
        <f>INT(INDEX(Table1[CostPerFULL],MATCH(Table2[[#This Row],[Copy From]],Table1[Locode],0))/2)</f>
        <v>74</v>
      </c>
      <c r="K84">
        <f>INT(INDEX(Table1[CostPerFULLTrnsf],MATCH(Table2[[#This Row],[Copy From]],Table1[Locode],0))/2)</f>
        <v>80</v>
      </c>
      <c r="L84" t="s">
        <v>91</v>
      </c>
    </row>
    <row r="85" spans="1:12" x14ac:dyDescent="0.3">
      <c r="A85" t="s">
        <v>185</v>
      </c>
      <c r="B85" s="1" t="b">
        <f>OR(IFERROR(MATCH($A85,Table1[Locode],0)&gt;0,FALSE))</f>
        <v>0</v>
      </c>
      <c r="C85" s="2" t="str">
        <f>IF(Table2[[#This Row],[Val_count]],Table2[[#This Row],[Sel_port]],Table2[[#This Row],[up]])</f>
        <v>INMAA</v>
      </c>
      <c r="D85">
        <f>INDEX(Table1[PortCallCostFixed],MATCH(Table2[[#This Row],[Copy From]],Table1[Locode],0))</f>
        <v>820</v>
      </c>
      <c r="E85">
        <f>INT(INDEX(Table1[PortCallCostPerFFE],MATCH(Table2[[#This Row],[Copy From]],Table1[Locode],0))/2)</f>
        <v>4</v>
      </c>
      <c r="F85">
        <f>Table2[[#This Row],[fp]]+Table2[[#This Row],[vp]]*1500</f>
        <v>6820</v>
      </c>
      <c r="G85">
        <f>Table2[[#This Row],[fp]]+Table2[[#This Row],[vp]]*5000</f>
        <v>20820</v>
      </c>
      <c r="H85">
        <f>Table2[[#This Row],[fp]]+Table2[[#This Row],[vp]]*10000</f>
        <v>40820</v>
      </c>
      <c r="I85">
        <f>Table2[[#This Row],[fp]]+Table2[[#This Row],[vp]]*18000</f>
        <v>72820</v>
      </c>
      <c r="J85">
        <f>INT(INDEX(Table1[CostPerFULL],MATCH(Table2[[#This Row],[Copy From]],Table1[Locode],0))/2)</f>
        <v>74</v>
      </c>
      <c r="K85">
        <f>INT(INDEX(Table1[CostPerFULLTrnsf],MATCH(Table2[[#This Row],[Copy From]],Table1[Locode],0))/2)</f>
        <v>80</v>
      </c>
      <c r="L85" t="s">
        <v>91</v>
      </c>
    </row>
    <row r="86" spans="1:12" x14ac:dyDescent="0.3">
      <c r="A86" t="s">
        <v>87</v>
      </c>
      <c r="B86" s="1" t="b">
        <f>OR(IFERROR(MATCH($A86,Table1[Locode],0)&gt;0,FALSE))</f>
        <v>1</v>
      </c>
      <c r="C86" s="2" t="str">
        <f>IF(Table2[[#This Row],[Val_count]],Table2[[#This Row],[Sel_port]],Table2[[#This Row],[up]])</f>
        <v>JPHKT</v>
      </c>
      <c r="D86">
        <f>INDEX(Table1[PortCallCostFixed],MATCH(Table2[[#This Row],[Copy From]],Table1[Locode],0))</f>
        <v>7150</v>
      </c>
      <c r="E86">
        <f>INT(INDEX(Table1[PortCallCostPerFFE],MATCH(Table2[[#This Row],[Copy From]],Table1[Locode],0))/2)</f>
        <v>2</v>
      </c>
      <c r="F86">
        <f>Table2[[#This Row],[fp]]+Table2[[#This Row],[vp]]*1500</f>
        <v>10150</v>
      </c>
      <c r="G86">
        <f>Table2[[#This Row],[fp]]+Table2[[#This Row],[vp]]*5000</f>
        <v>17150</v>
      </c>
      <c r="H86">
        <f>Table2[[#This Row],[fp]]+Table2[[#This Row],[vp]]*10000</f>
        <v>27150</v>
      </c>
      <c r="I86">
        <f>Table2[[#This Row],[fp]]+Table2[[#This Row],[vp]]*18000</f>
        <v>43150</v>
      </c>
      <c r="J86">
        <f>INT(INDEX(Table1[CostPerFULL],MATCH(Table2[[#This Row],[Copy From]],Table1[Locode],0))/2)</f>
        <v>91</v>
      </c>
      <c r="K86">
        <f>INT(INDEX(Table1[CostPerFULLTrnsf],MATCH(Table2[[#This Row],[Copy From]],Table1[Locode],0))/2)</f>
        <v>42</v>
      </c>
      <c r="L86" s="2"/>
    </row>
    <row r="87" spans="1:12" x14ac:dyDescent="0.3">
      <c r="A87" t="s">
        <v>188</v>
      </c>
      <c r="B87" s="1" t="b">
        <f>OR(IFERROR(MATCH($A87,Table1[Locode],0)&gt;0,FALSE))</f>
        <v>0</v>
      </c>
      <c r="C87" s="2" t="str">
        <f>IF(Table2[[#This Row],[Val_count]],Table2[[#This Row],[Sel_port]],Table2[[#This Row],[up]])</f>
        <v>JPHKT</v>
      </c>
      <c r="D87">
        <f>INDEX(Table1[PortCallCostFixed],MATCH(Table2[[#This Row],[Copy From]],Table1[Locode],0))</f>
        <v>7150</v>
      </c>
      <c r="E87">
        <f>INT(INDEX(Table1[PortCallCostPerFFE],MATCH(Table2[[#This Row],[Copy From]],Table1[Locode],0))/2)</f>
        <v>2</v>
      </c>
      <c r="F87">
        <f>Table2[[#This Row],[fp]]+Table2[[#This Row],[vp]]*1500</f>
        <v>10150</v>
      </c>
      <c r="G87">
        <f>Table2[[#This Row],[fp]]+Table2[[#This Row],[vp]]*5000</f>
        <v>17150</v>
      </c>
      <c r="H87">
        <f>Table2[[#This Row],[fp]]+Table2[[#This Row],[vp]]*10000</f>
        <v>27150</v>
      </c>
      <c r="I87">
        <f>Table2[[#This Row],[fp]]+Table2[[#This Row],[vp]]*18000</f>
        <v>43150</v>
      </c>
      <c r="J87">
        <f>INT(INDEX(Table1[CostPerFULL],MATCH(Table2[[#This Row],[Copy From]],Table1[Locode],0))/2)</f>
        <v>91</v>
      </c>
      <c r="K87">
        <f>INT(INDEX(Table1[CostPerFULLTrnsf],MATCH(Table2[[#This Row],[Copy From]],Table1[Locode],0))/2)</f>
        <v>42</v>
      </c>
      <c r="L87" t="s">
        <v>87</v>
      </c>
    </row>
    <row r="88" spans="1:12" x14ac:dyDescent="0.3">
      <c r="A88" t="s">
        <v>61</v>
      </c>
      <c r="B88" s="1" t="b">
        <f>OR(IFERROR(MATCH($A88,Table1[Locode],0)&gt;0,FALSE))</f>
        <v>1</v>
      </c>
      <c r="C88" s="2" t="str">
        <f>IF(Table2[[#This Row],[Val_count]],Table2[[#This Row],[Sel_port]],Table2[[#This Row],[up]])</f>
        <v>JPNGO</v>
      </c>
      <c r="D88">
        <f>INDEX(Table1[PortCallCostFixed],MATCH(Table2[[#This Row],[Copy From]],Table1[Locode],0))</f>
        <v>17860</v>
      </c>
      <c r="E88">
        <f>INT(INDEX(Table1[PortCallCostPerFFE],MATCH(Table2[[#This Row],[Copy From]],Table1[Locode],0))/2)</f>
        <v>3</v>
      </c>
      <c r="F88">
        <f>Table2[[#This Row],[fp]]+Table2[[#This Row],[vp]]*1500</f>
        <v>22360</v>
      </c>
      <c r="G88">
        <f>Table2[[#This Row],[fp]]+Table2[[#This Row],[vp]]*5000</f>
        <v>32860</v>
      </c>
      <c r="H88">
        <f>Table2[[#This Row],[fp]]+Table2[[#This Row],[vp]]*10000</f>
        <v>47860</v>
      </c>
      <c r="I88">
        <f>Table2[[#This Row],[fp]]+Table2[[#This Row],[vp]]*18000</f>
        <v>71860</v>
      </c>
      <c r="J88">
        <f>INT(INDEX(Table1[CostPerFULL],MATCH(Table2[[#This Row],[Copy From]],Table1[Locode],0))/2)</f>
        <v>67</v>
      </c>
      <c r="K88">
        <f>INT(INDEX(Table1[CostPerFULLTrnsf],MATCH(Table2[[#This Row],[Copy From]],Table1[Locode],0))/2)</f>
        <v>31</v>
      </c>
      <c r="L88" s="2"/>
    </row>
    <row r="89" spans="1:12" x14ac:dyDescent="0.3">
      <c r="A89" t="s">
        <v>113</v>
      </c>
      <c r="B89" s="1" t="b">
        <f>OR(IFERROR(MATCH($A89,Table1[Locode],0)&gt;0,FALSE))</f>
        <v>1</v>
      </c>
      <c r="C89" s="2" t="str">
        <f>IF(Table2[[#This Row],[Val_count]],Table2[[#This Row],[Sel_port]],Table2[[#This Row],[up]])</f>
        <v>JPOSA</v>
      </c>
      <c r="D89">
        <f>INDEX(Table1[PortCallCostFixed],MATCH(Table2[[#This Row],[Copy From]],Table1[Locode],0))</f>
        <v>12566</v>
      </c>
      <c r="E89">
        <f>INT(INDEX(Table1[PortCallCostPerFFE],MATCH(Table2[[#This Row],[Copy From]],Table1[Locode],0))/2)</f>
        <v>8</v>
      </c>
      <c r="F89">
        <f>Table2[[#This Row],[fp]]+Table2[[#This Row],[vp]]*1500</f>
        <v>24566</v>
      </c>
      <c r="G89">
        <f>Table2[[#This Row],[fp]]+Table2[[#This Row],[vp]]*5000</f>
        <v>52566</v>
      </c>
      <c r="H89">
        <f>Table2[[#This Row],[fp]]+Table2[[#This Row],[vp]]*10000</f>
        <v>92566</v>
      </c>
      <c r="I89">
        <f>Table2[[#This Row],[fp]]+Table2[[#This Row],[vp]]*18000</f>
        <v>156566</v>
      </c>
      <c r="J89">
        <f>INT(INDEX(Table1[CostPerFULL],MATCH(Table2[[#This Row],[Copy From]],Table1[Locode],0))/2)</f>
        <v>80</v>
      </c>
      <c r="K89">
        <f>INT(INDEX(Table1[CostPerFULLTrnsf],MATCH(Table2[[#This Row],[Copy From]],Table1[Locode],0))/2)</f>
        <v>43</v>
      </c>
      <c r="L89" s="2"/>
    </row>
    <row r="90" spans="1:12" x14ac:dyDescent="0.3">
      <c r="A90" t="s">
        <v>46</v>
      </c>
      <c r="B90" s="1" t="b">
        <f>OR(IFERROR(MATCH($A90,Table1[Locode],0)&gt;0,FALSE))</f>
        <v>1</v>
      </c>
      <c r="C90" s="2" t="str">
        <f>IF(Table2[[#This Row],[Val_count]],Table2[[#This Row],[Sel_port]],Table2[[#This Row],[up]])</f>
        <v>JPSMZ</v>
      </c>
      <c r="D90">
        <f>INDEX(Table1[PortCallCostFixed],MATCH(Table2[[#This Row],[Copy From]],Table1[Locode],0))</f>
        <v>18160</v>
      </c>
      <c r="E90">
        <f>INT(INDEX(Table1[PortCallCostPerFFE],MATCH(Table2[[#This Row],[Copy From]],Table1[Locode],0))/2)</f>
        <v>5</v>
      </c>
      <c r="F90">
        <f>Table2[[#This Row],[fp]]+Table2[[#This Row],[vp]]*1500</f>
        <v>25660</v>
      </c>
      <c r="G90">
        <f>Table2[[#This Row],[fp]]+Table2[[#This Row],[vp]]*5000</f>
        <v>43160</v>
      </c>
      <c r="H90">
        <f>Table2[[#This Row],[fp]]+Table2[[#This Row],[vp]]*10000</f>
        <v>68160</v>
      </c>
      <c r="I90">
        <f>Table2[[#This Row],[fp]]+Table2[[#This Row],[vp]]*18000</f>
        <v>108160</v>
      </c>
      <c r="J90">
        <f>INT(INDEX(Table1[CostPerFULL],MATCH(Table2[[#This Row],[Copy From]],Table1[Locode],0))/2)</f>
        <v>98</v>
      </c>
      <c r="K90">
        <f>INT(INDEX(Table1[CostPerFULLTrnsf],MATCH(Table2[[#This Row],[Copy From]],Table1[Locode],0))/2)</f>
        <v>41</v>
      </c>
      <c r="L90" s="2"/>
    </row>
    <row r="91" spans="1:12" x14ac:dyDescent="0.3">
      <c r="A91" t="s">
        <v>34</v>
      </c>
      <c r="B91" s="1" t="b">
        <f>OR(IFERROR(MATCH($A91,Table1[Locode],0)&gt;0,FALSE))</f>
        <v>1</v>
      </c>
      <c r="C91" s="2" t="str">
        <f>IF(Table2[[#This Row],[Val_count]],Table2[[#This Row],[Sel_port]],Table2[[#This Row],[up]])</f>
        <v>JPTYO</v>
      </c>
      <c r="D91">
        <f>INDEX(Table1[PortCallCostFixed],MATCH(Table2[[#This Row],[Copy From]],Table1[Locode],0))</f>
        <v>2867</v>
      </c>
      <c r="E91">
        <f>INT(INDEX(Table1[PortCallCostPerFFE],MATCH(Table2[[#This Row],[Copy From]],Table1[Locode],0))/2)</f>
        <v>4</v>
      </c>
      <c r="F91">
        <f>Table2[[#This Row],[fp]]+Table2[[#This Row],[vp]]*1500</f>
        <v>8867</v>
      </c>
      <c r="G91">
        <f>Table2[[#This Row],[fp]]+Table2[[#This Row],[vp]]*5000</f>
        <v>22867</v>
      </c>
      <c r="H91">
        <f>Table2[[#This Row],[fp]]+Table2[[#This Row],[vp]]*10000</f>
        <v>42867</v>
      </c>
      <c r="I91">
        <f>Table2[[#This Row],[fp]]+Table2[[#This Row],[vp]]*18000</f>
        <v>74867</v>
      </c>
      <c r="J91">
        <f>INT(INDEX(Table1[CostPerFULL],MATCH(Table2[[#This Row],[Copy From]],Table1[Locode],0))/2)</f>
        <v>137</v>
      </c>
      <c r="K91">
        <f>INT(INDEX(Table1[CostPerFULLTrnsf],MATCH(Table2[[#This Row],[Copy From]],Table1[Locode],0))/2)</f>
        <v>43</v>
      </c>
      <c r="L91" s="2"/>
    </row>
    <row r="92" spans="1:12" x14ac:dyDescent="0.3">
      <c r="A92" t="s">
        <v>101</v>
      </c>
      <c r="B92" s="1" t="b">
        <f>OR(IFERROR(MATCH($A92,Table1[Locode],0)&gt;0,FALSE))</f>
        <v>1</v>
      </c>
      <c r="C92" s="2" t="str">
        <f>IF(Table2[[#This Row],[Val_count]],Table2[[#This Row],[Sel_port]],Table2[[#This Row],[up]])</f>
        <v>JPUKB</v>
      </c>
      <c r="D92">
        <f>INDEX(Table1[PortCallCostFixed],MATCH(Table2[[#This Row],[Copy From]],Table1[Locode],0))</f>
        <v>13695</v>
      </c>
      <c r="E92">
        <f>INT(INDEX(Table1[PortCallCostPerFFE],MATCH(Table2[[#This Row],[Copy From]],Table1[Locode],0))/2)</f>
        <v>2</v>
      </c>
      <c r="F92">
        <f>Table2[[#This Row],[fp]]+Table2[[#This Row],[vp]]*1500</f>
        <v>16695</v>
      </c>
      <c r="G92">
        <f>Table2[[#This Row],[fp]]+Table2[[#This Row],[vp]]*5000</f>
        <v>23695</v>
      </c>
      <c r="H92">
        <f>Table2[[#This Row],[fp]]+Table2[[#This Row],[vp]]*10000</f>
        <v>33695</v>
      </c>
      <c r="I92">
        <f>Table2[[#This Row],[fp]]+Table2[[#This Row],[vp]]*18000</f>
        <v>49695</v>
      </c>
      <c r="J92">
        <f>INT(INDEX(Table1[CostPerFULL],MATCH(Table2[[#This Row],[Copy From]],Table1[Locode],0))/2)</f>
        <v>53</v>
      </c>
      <c r="K92">
        <f>INT(INDEX(Table1[CostPerFULLTrnsf],MATCH(Table2[[#This Row],[Copy From]],Table1[Locode],0))/2)</f>
        <v>31</v>
      </c>
      <c r="L92" s="2"/>
    </row>
    <row r="93" spans="1:12" x14ac:dyDescent="0.3">
      <c r="A93" t="s">
        <v>189</v>
      </c>
      <c r="B93" s="1" t="b">
        <f>OR(IFERROR(MATCH($A93,Table1[Locode],0)&gt;0,FALSE))</f>
        <v>0</v>
      </c>
      <c r="C93" s="2" t="str">
        <f>IF(Table2[[#This Row],[Val_count]],Table2[[#This Row],[Sel_port]],Table2[[#This Row],[up]])</f>
        <v>JPNGO</v>
      </c>
      <c r="D93">
        <f>INDEX(Table1[PortCallCostFixed],MATCH(Table2[[#This Row],[Copy From]],Table1[Locode],0))</f>
        <v>17860</v>
      </c>
      <c r="E93">
        <f>INT(INDEX(Table1[PortCallCostPerFFE],MATCH(Table2[[#This Row],[Copy From]],Table1[Locode],0))/2)</f>
        <v>3</v>
      </c>
      <c r="F93">
        <f>Table2[[#This Row],[fp]]+Table2[[#This Row],[vp]]*1500</f>
        <v>22360</v>
      </c>
      <c r="G93">
        <f>Table2[[#This Row],[fp]]+Table2[[#This Row],[vp]]*5000</f>
        <v>32860</v>
      </c>
      <c r="H93">
        <f>Table2[[#This Row],[fp]]+Table2[[#This Row],[vp]]*10000</f>
        <v>47860</v>
      </c>
      <c r="I93">
        <f>Table2[[#This Row],[fp]]+Table2[[#This Row],[vp]]*18000</f>
        <v>71860</v>
      </c>
      <c r="J93">
        <f>INT(INDEX(Table1[CostPerFULL],MATCH(Table2[[#This Row],[Copy From]],Table1[Locode],0))/2)</f>
        <v>67</v>
      </c>
      <c r="K93">
        <f>INT(INDEX(Table1[CostPerFULLTrnsf],MATCH(Table2[[#This Row],[Copy From]],Table1[Locode],0))/2)</f>
        <v>31</v>
      </c>
      <c r="L93" t="s">
        <v>61</v>
      </c>
    </row>
    <row r="94" spans="1:12" x14ac:dyDescent="0.3">
      <c r="A94" t="s">
        <v>74</v>
      </c>
      <c r="B94" s="1" t="b">
        <f>OR(IFERROR(MATCH($A94,Table1[Locode],0)&gt;0,FALSE))</f>
        <v>1</v>
      </c>
      <c r="C94" s="2" t="str">
        <f>IF(Table2[[#This Row],[Val_count]],Table2[[#This Row],[Sel_port]],Table2[[#This Row],[up]])</f>
        <v>JPYOK</v>
      </c>
      <c r="D94">
        <f>INDEX(Table1[PortCallCostFixed],MATCH(Table2[[#This Row],[Copy From]],Table1[Locode],0))</f>
        <v>16900</v>
      </c>
      <c r="E94">
        <f>INT(INDEX(Table1[PortCallCostPerFFE],MATCH(Table2[[#This Row],[Copy From]],Table1[Locode],0))/2)</f>
        <v>0</v>
      </c>
      <c r="F94">
        <f>Table2[[#This Row],[fp]]+Table2[[#This Row],[vp]]*1500</f>
        <v>16900</v>
      </c>
      <c r="G94">
        <f>Table2[[#This Row],[fp]]+Table2[[#This Row],[vp]]*5000</f>
        <v>16900</v>
      </c>
      <c r="H94">
        <f>Table2[[#This Row],[fp]]+Table2[[#This Row],[vp]]*10000</f>
        <v>16900</v>
      </c>
      <c r="I94">
        <f>Table2[[#This Row],[fp]]+Table2[[#This Row],[vp]]*18000</f>
        <v>16900</v>
      </c>
      <c r="J94">
        <f>INT(INDEX(Table1[CostPerFULL],MATCH(Table2[[#This Row],[Copy From]],Table1[Locode],0))/2)</f>
        <v>52</v>
      </c>
      <c r="K94">
        <f>INT(INDEX(Table1[CostPerFULLTrnsf],MATCH(Table2[[#This Row],[Copy From]],Table1[Locode],0))/2)</f>
        <v>34</v>
      </c>
      <c r="L94" s="2"/>
    </row>
    <row r="95" spans="1:12" x14ac:dyDescent="0.3">
      <c r="A95" t="s">
        <v>151</v>
      </c>
      <c r="B95" s="1" t="b">
        <f>OR(IFERROR(MATCH($A95,Table1[Locode],0)&gt;0,FALSE))</f>
        <v>1</v>
      </c>
      <c r="C95" s="2" t="str">
        <f>IF(Table2[[#This Row],[Val_count]],Table2[[#This Row],[Sel_port]],Table2[[#This Row],[up]])</f>
        <v>KHKOS</v>
      </c>
      <c r="D95">
        <f>INDEX(Table1[PortCallCostFixed],MATCH(Table2[[#This Row],[Copy From]],Table1[Locode],0))</f>
        <v>3156</v>
      </c>
      <c r="E95">
        <f>INT(INDEX(Table1[PortCallCostPerFFE],MATCH(Table2[[#This Row],[Copy From]],Table1[Locode],0))/2)</f>
        <v>5</v>
      </c>
      <c r="F95">
        <f>Table2[[#This Row],[fp]]+Table2[[#This Row],[vp]]*1500</f>
        <v>10656</v>
      </c>
      <c r="G95">
        <f>Table2[[#This Row],[fp]]+Table2[[#This Row],[vp]]*5000</f>
        <v>28156</v>
      </c>
      <c r="H95">
        <f>Table2[[#This Row],[fp]]+Table2[[#This Row],[vp]]*10000</f>
        <v>53156</v>
      </c>
      <c r="I95">
        <f>Table2[[#This Row],[fp]]+Table2[[#This Row],[vp]]*18000</f>
        <v>93156</v>
      </c>
      <c r="J95">
        <f>INT(INDEX(Table1[CostPerFULL],MATCH(Table2[[#This Row],[Copy From]],Table1[Locode],0))/2)</f>
        <v>42</v>
      </c>
      <c r="K95">
        <f>INT(INDEX(Table1[CostPerFULLTrnsf],MATCH(Table2[[#This Row],[Copy From]],Table1[Locode],0))/2)</f>
        <v>31</v>
      </c>
      <c r="L95" s="2"/>
    </row>
    <row r="96" spans="1:12" x14ac:dyDescent="0.3">
      <c r="A96" t="s">
        <v>190</v>
      </c>
      <c r="B96" s="1" t="b">
        <f>OR(IFERROR(MATCH($A96,Table1[Locode],0)&gt;0,FALSE))</f>
        <v>1</v>
      </c>
      <c r="C96" s="2" t="str">
        <f>IF(Table2[[#This Row],[Val_count]],Table2[[#This Row],[Sel_port]],Table2[[#This Row],[up]])</f>
        <v>KRINC</v>
      </c>
      <c r="D96">
        <f>INDEX(Table1[PortCallCostFixed],MATCH(Table2[[#This Row],[Copy From]],Table1[Locode],0))</f>
        <v>3337</v>
      </c>
      <c r="E96">
        <f>INT(INDEX(Table1[PortCallCostPerFFE],MATCH(Table2[[#This Row],[Copy From]],Table1[Locode],0))/2)</f>
        <v>2</v>
      </c>
      <c r="F96">
        <f>Table2[[#This Row],[fp]]+Table2[[#This Row],[vp]]*1500</f>
        <v>6337</v>
      </c>
      <c r="G96">
        <f>Table2[[#This Row],[fp]]+Table2[[#This Row],[vp]]*5000</f>
        <v>13337</v>
      </c>
      <c r="H96">
        <f>Table2[[#This Row],[fp]]+Table2[[#This Row],[vp]]*10000</f>
        <v>23337</v>
      </c>
      <c r="I96">
        <f>Table2[[#This Row],[fp]]+Table2[[#This Row],[vp]]*18000</f>
        <v>39337</v>
      </c>
      <c r="J96">
        <f>INT(INDEX(Table1[CostPerFULL],MATCH(Table2[[#This Row],[Copy From]],Table1[Locode],0))/2)</f>
        <v>40</v>
      </c>
      <c r="K96">
        <f>INT(INDEX(Table1[CostPerFULLTrnsf],MATCH(Table2[[#This Row],[Copy From]],Table1[Locode],0))/2)</f>
        <v>32</v>
      </c>
      <c r="L96" s="2"/>
    </row>
    <row r="97" spans="1:12" x14ac:dyDescent="0.3">
      <c r="A97" t="s">
        <v>103</v>
      </c>
      <c r="B97" s="1" t="b">
        <f>OR(IFERROR(MATCH($A97,Table1[Locode],0)&gt;0,FALSE))</f>
        <v>1</v>
      </c>
      <c r="C97" s="2" t="str">
        <f>IF(Table2[[#This Row],[Val_count]],Table2[[#This Row],[Sel_port]],Table2[[#This Row],[up]])</f>
        <v>KRKAN</v>
      </c>
      <c r="D97">
        <f>INDEX(Table1[PortCallCostFixed],MATCH(Table2[[#This Row],[Copy From]],Table1[Locode],0))</f>
        <v>2453</v>
      </c>
      <c r="E97">
        <f>INT(INDEX(Table1[PortCallCostPerFFE],MATCH(Table2[[#This Row],[Copy From]],Table1[Locode],0))/2)</f>
        <v>0</v>
      </c>
      <c r="F97">
        <f>Table2[[#This Row],[fp]]+Table2[[#This Row],[vp]]*1500</f>
        <v>2453</v>
      </c>
      <c r="G97">
        <f>Table2[[#This Row],[fp]]+Table2[[#This Row],[vp]]*5000</f>
        <v>2453</v>
      </c>
      <c r="H97">
        <f>Table2[[#This Row],[fp]]+Table2[[#This Row],[vp]]*10000</f>
        <v>2453</v>
      </c>
      <c r="I97">
        <f>Table2[[#This Row],[fp]]+Table2[[#This Row],[vp]]*18000</f>
        <v>2453</v>
      </c>
      <c r="J97">
        <f>INT(INDEX(Table1[CostPerFULL],MATCH(Table2[[#This Row],[Copy From]],Table1[Locode],0))/2)</f>
        <v>24</v>
      </c>
      <c r="K97">
        <f>INT(INDEX(Table1[CostPerFULLTrnsf],MATCH(Table2[[#This Row],[Copy From]],Table1[Locode],0))/2)</f>
        <v>24</v>
      </c>
      <c r="L97" s="2"/>
    </row>
    <row r="98" spans="1:12" x14ac:dyDescent="0.3">
      <c r="A98" t="s">
        <v>76</v>
      </c>
      <c r="B98" s="1" t="b">
        <f>OR(IFERROR(MATCH($A98,Table1[Locode],0)&gt;0,FALSE))</f>
        <v>1</v>
      </c>
      <c r="C98" s="2" t="str">
        <f>IF(Table2[[#This Row],[Val_count]],Table2[[#This Row],[Sel_port]],Table2[[#This Row],[up]])</f>
        <v>KRPUS</v>
      </c>
      <c r="D98">
        <f>INDEX(Table1[PortCallCostFixed],MATCH(Table2[[#This Row],[Copy From]],Table1[Locode],0))</f>
        <v>2842</v>
      </c>
      <c r="E98">
        <f>INT(INDEX(Table1[PortCallCostPerFFE],MATCH(Table2[[#This Row],[Copy From]],Table1[Locode],0))/2)</f>
        <v>2</v>
      </c>
      <c r="F98">
        <f>Table2[[#This Row],[fp]]+Table2[[#This Row],[vp]]*1500</f>
        <v>5842</v>
      </c>
      <c r="G98">
        <f>Table2[[#This Row],[fp]]+Table2[[#This Row],[vp]]*5000</f>
        <v>12842</v>
      </c>
      <c r="H98">
        <f>Table2[[#This Row],[fp]]+Table2[[#This Row],[vp]]*10000</f>
        <v>22842</v>
      </c>
      <c r="I98">
        <f>Table2[[#This Row],[fp]]+Table2[[#This Row],[vp]]*18000</f>
        <v>38842</v>
      </c>
      <c r="J98">
        <f>INT(INDEX(Table1[CostPerFULL],MATCH(Table2[[#This Row],[Copy From]],Table1[Locode],0))/2)</f>
        <v>38</v>
      </c>
      <c r="K98">
        <f>INT(INDEX(Table1[CostPerFULLTrnsf],MATCH(Table2[[#This Row],[Copy From]],Table1[Locode],0))/2)</f>
        <v>24</v>
      </c>
      <c r="L98" s="2"/>
    </row>
    <row r="99" spans="1:12" x14ac:dyDescent="0.3">
      <c r="A99" t="s">
        <v>191</v>
      </c>
      <c r="B99" s="1" t="b">
        <f>OR(IFERROR(MATCH($A99,Table1[Locode],0)&gt;0,FALSE))</f>
        <v>0</v>
      </c>
      <c r="C99" s="2" t="str">
        <f>IF(Table2[[#This Row],[Val_count]],Table2[[#This Row],[Sel_port]],Table2[[#This Row],[up]])</f>
        <v>KRPUS</v>
      </c>
      <c r="D99">
        <f>INDEX(Table1[PortCallCostFixed],MATCH(Table2[[#This Row],[Copy From]],Table1[Locode],0))</f>
        <v>2842</v>
      </c>
      <c r="E99">
        <f>INT(INDEX(Table1[PortCallCostPerFFE],MATCH(Table2[[#This Row],[Copy From]],Table1[Locode],0))/2)</f>
        <v>2</v>
      </c>
      <c r="F99">
        <f>Table2[[#This Row],[fp]]+Table2[[#This Row],[vp]]*1500</f>
        <v>5842</v>
      </c>
      <c r="G99">
        <f>Table2[[#This Row],[fp]]+Table2[[#This Row],[vp]]*5000</f>
        <v>12842</v>
      </c>
      <c r="H99">
        <f>Table2[[#This Row],[fp]]+Table2[[#This Row],[vp]]*10000</f>
        <v>22842</v>
      </c>
      <c r="I99">
        <f>Table2[[#This Row],[fp]]+Table2[[#This Row],[vp]]*18000</f>
        <v>38842</v>
      </c>
      <c r="J99">
        <f>INT(INDEX(Table1[CostPerFULL],MATCH(Table2[[#This Row],[Copy From]],Table1[Locode],0))/2)</f>
        <v>38</v>
      </c>
      <c r="K99">
        <f>INT(INDEX(Table1[CostPerFULLTrnsf],MATCH(Table2[[#This Row],[Copy From]],Table1[Locode],0))/2)</f>
        <v>24</v>
      </c>
      <c r="L99" t="s">
        <v>76</v>
      </c>
    </row>
    <row r="100" spans="1:12" x14ac:dyDescent="0.3">
      <c r="A100" t="s">
        <v>38</v>
      </c>
      <c r="B100" s="1" t="b">
        <f>OR(IFERROR(MATCH($A100,Table1[Locode],0)&gt;0,FALSE))</f>
        <v>1</v>
      </c>
      <c r="C100" s="2" t="str">
        <f>IF(Table2[[#This Row],[Val_count]],Table2[[#This Row],[Sel_port]],Table2[[#This Row],[up]])</f>
        <v>LKCMB</v>
      </c>
      <c r="D100">
        <f>INDEX(Table1[PortCallCostFixed],MATCH(Table2[[#This Row],[Copy From]],Table1[Locode],0))</f>
        <v>2568</v>
      </c>
      <c r="E100">
        <f>INT(INDEX(Table1[PortCallCostPerFFE],MATCH(Table2[[#This Row],[Copy From]],Table1[Locode],0))/2)</f>
        <v>2</v>
      </c>
      <c r="F100">
        <f>Table2[[#This Row],[fp]]+Table2[[#This Row],[vp]]*1500</f>
        <v>5568</v>
      </c>
      <c r="G100">
        <f>Table2[[#This Row],[fp]]+Table2[[#This Row],[vp]]*5000</f>
        <v>12568</v>
      </c>
      <c r="H100">
        <f>Table2[[#This Row],[fp]]+Table2[[#This Row],[vp]]*10000</f>
        <v>22568</v>
      </c>
      <c r="I100">
        <f>Table2[[#This Row],[fp]]+Table2[[#This Row],[vp]]*18000</f>
        <v>38568</v>
      </c>
      <c r="J100">
        <f>INT(INDEX(Table1[CostPerFULL],MATCH(Table2[[#This Row],[Copy From]],Table1[Locode],0))/2)</f>
        <v>136</v>
      </c>
      <c r="K100">
        <f>INT(INDEX(Table1[CostPerFULLTrnsf],MATCH(Table2[[#This Row],[Copy From]],Table1[Locode],0))/2)</f>
        <v>36</v>
      </c>
      <c r="L100" s="2"/>
    </row>
    <row r="101" spans="1:12" x14ac:dyDescent="0.3">
      <c r="A101" t="s">
        <v>192</v>
      </c>
      <c r="B101" s="1" t="b">
        <f>OR(IFERROR(MATCH($A101,Table1[Locode],0)&gt;0,FALSE))</f>
        <v>0</v>
      </c>
      <c r="C101" s="2" t="str">
        <f>IF(Table2[[#This Row],[Val_count]],Table2[[#This Row],[Sel_port]],Table2[[#This Row],[up]])</f>
        <v>BDCGP</v>
      </c>
      <c r="D101">
        <f>INDEX(Table1[PortCallCostFixed],MATCH(Table2[[#This Row],[Copy From]],Table1[Locode],0))</f>
        <v>7130</v>
      </c>
      <c r="E101">
        <f>INT(INDEX(Table1[PortCallCostPerFFE],MATCH(Table2[[#This Row],[Copy From]],Table1[Locode],0))/2)</f>
        <v>19</v>
      </c>
      <c r="F101">
        <f>Table2[[#This Row],[fp]]+Table2[[#This Row],[vp]]*1500</f>
        <v>35630</v>
      </c>
      <c r="G101">
        <f>Table2[[#This Row],[fp]]+Table2[[#This Row],[vp]]*5000</f>
        <v>102130</v>
      </c>
      <c r="H101">
        <f>Table2[[#This Row],[fp]]+Table2[[#This Row],[vp]]*10000</f>
        <v>197130</v>
      </c>
      <c r="I101">
        <f>Table2[[#This Row],[fp]]+Table2[[#This Row],[vp]]*18000</f>
        <v>349130</v>
      </c>
      <c r="J101">
        <f>INT(INDEX(Table1[CostPerFULL],MATCH(Table2[[#This Row],[Copy From]],Table1[Locode],0))/2)</f>
        <v>52</v>
      </c>
      <c r="K101">
        <f>INT(INDEX(Table1[CostPerFULLTrnsf],MATCH(Table2[[#This Row],[Copy From]],Table1[Locode],0))/2)</f>
        <v>1</v>
      </c>
      <c r="L101" t="s">
        <v>137</v>
      </c>
    </row>
    <row r="102" spans="1:12" x14ac:dyDescent="0.3">
      <c r="A102" t="s">
        <v>194</v>
      </c>
      <c r="B102" s="1" t="b">
        <f>OR(IFERROR(MATCH($A102,Table1[Locode],0)&gt;0,FALSE))</f>
        <v>0</v>
      </c>
      <c r="C102" s="2" t="str">
        <f>IF(Table2[[#This Row],[Val_count]],Table2[[#This Row],[Sel_port]],Table2[[#This Row],[up]])</f>
        <v>MYPEN</v>
      </c>
      <c r="D102">
        <f>INDEX(Table1[PortCallCostFixed],MATCH(Table2[[#This Row],[Copy From]],Table1[Locode],0))</f>
        <v>3213</v>
      </c>
      <c r="E102">
        <f>INT(INDEX(Table1[PortCallCostPerFFE],MATCH(Table2[[#This Row],[Copy From]],Table1[Locode],0))/2)</f>
        <v>4</v>
      </c>
      <c r="F102">
        <f>Table2[[#This Row],[fp]]+Table2[[#This Row],[vp]]*1500</f>
        <v>9213</v>
      </c>
      <c r="G102">
        <f>Table2[[#This Row],[fp]]+Table2[[#This Row],[vp]]*5000</f>
        <v>23213</v>
      </c>
      <c r="H102">
        <f>Table2[[#This Row],[fp]]+Table2[[#This Row],[vp]]*10000</f>
        <v>43213</v>
      </c>
      <c r="I102">
        <f>Table2[[#This Row],[fp]]+Table2[[#This Row],[vp]]*18000</f>
        <v>75213</v>
      </c>
      <c r="J102">
        <f>INT(INDEX(Table1[CostPerFULL],MATCH(Table2[[#This Row],[Copy From]],Table1[Locode],0))/2)</f>
        <v>67</v>
      </c>
      <c r="K102">
        <f>INT(INDEX(Table1[CostPerFULLTrnsf],MATCH(Table2[[#This Row],[Copy From]],Table1[Locode],0))/2)</f>
        <v>30</v>
      </c>
      <c r="L102" t="s">
        <v>131</v>
      </c>
    </row>
    <row r="103" spans="1:12" x14ac:dyDescent="0.3">
      <c r="A103" t="s">
        <v>195</v>
      </c>
      <c r="B103" s="1" t="b">
        <f>OR(IFERROR(MATCH($A103,Table1[Locode],0)&gt;0,FALSE))</f>
        <v>0</v>
      </c>
      <c r="C103" s="2" t="str">
        <f>IF(Table2[[#This Row],[Val_count]],Table2[[#This Row],[Sel_port]],Table2[[#This Row],[up]])</f>
        <v>MYPEN</v>
      </c>
      <c r="D103">
        <f>INDEX(Table1[PortCallCostFixed],MATCH(Table2[[#This Row],[Copy From]],Table1[Locode],0))</f>
        <v>3213</v>
      </c>
      <c r="E103">
        <f>INT(INDEX(Table1[PortCallCostPerFFE],MATCH(Table2[[#This Row],[Copy From]],Table1[Locode],0))/2)</f>
        <v>4</v>
      </c>
      <c r="F103">
        <f>Table2[[#This Row],[fp]]+Table2[[#This Row],[vp]]*1500</f>
        <v>9213</v>
      </c>
      <c r="G103">
        <f>Table2[[#This Row],[fp]]+Table2[[#This Row],[vp]]*5000</f>
        <v>23213</v>
      </c>
      <c r="H103">
        <f>Table2[[#This Row],[fp]]+Table2[[#This Row],[vp]]*10000</f>
        <v>43213</v>
      </c>
      <c r="I103">
        <f>Table2[[#This Row],[fp]]+Table2[[#This Row],[vp]]*18000</f>
        <v>75213</v>
      </c>
      <c r="J103">
        <f>INT(INDEX(Table1[CostPerFULL],MATCH(Table2[[#This Row],[Copy From]],Table1[Locode],0))/2)</f>
        <v>67</v>
      </c>
      <c r="K103">
        <f>INT(INDEX(Table1[CostPerFULLTrnsf],MATCH(Table2[[#This Row],[Copy From]],Table1[Locode],0))/2)</f>
        <v>30</v>
      </c>
      <c r="L103" t="s">
        <v>131</v>
      </c>
    </row>
    <row r="104" spans="1:12" x14ac:dyDescent="0.3">
      <c r="A104" t="s">
        <v>131</v>
      </c>
      <c r="B104" s="1" t="b">
        <f>OR(IFERROR(MATCH($A104,Table1[Locode],0)&gt;0,FALSE))</f>
        <v>1</v>
      </c>
      <c r="C104" s="2" t="str">
        <f>IF(Table2[[#This Row],[Val_count]],Table2[[#This Row],[Sel_port]],Table2[[#This Row],[up]])</f>
        <v>MYPEN</v>
      </c>
      <c r="D104">
        <f>INDEX(Table1[PortCallCostFixed],MATCH(Table2[[#This Row],[Copy From]],Table1[Locode],0))</f>
        <v>3213</v>
      </c>
      <c r="E104">
        <f>INT(INDEX(Table1[PortCallCostPerFFE],MATCH(Table2[[#This Row],[Copy From]],Table1[Locode],0))/2)</f>
        <v>4</v>
      </c>
      <c r="F104">
        <f>Table2[[#This Row],[fp]]+Table2[[#This Row],[vp]]*1500</f>
        <v>9213</v>
      </c>
      <c r="G104">
        <f>Table2[[#This Row],[fp]]+Table2[[#This Row],[vp]]*5000</f>
        <v>23213</v>
      </c>
      <c r="H104">
        <f>Table2[[#This Row],[fp]]+Table2[[#This Row],[vp]]*10000</f>
        <v>43213</v>
      </c>
      <c r="I104">
        <f>Table2[[#This Row],[fp]]+Table2[[#This Row],[vp]]*18000</f>
        <v>75213</v>
      </c>
      <c r="J104">
        <f>INT(INDEX(Table1[CostPerFULL],MATCH(Table2[[#This Row],[Copy From]],Table1[Locode],0))/2)</f>
        <v>67</v>
      </c>
      <c r="K104">
        <f>INT(INDEX(Table1[CostPerFULLTrnsf],MATCH(Table2[[#This Row],[Copy From]],Table1[Locode],0))/2)</f>
        <v>30</v>
      </c>
      <c r="L104" s="2"/>
    </row>
    <row r="105" spans="1:12" x14ac:dyDescent="0.3">
      <c r="A105" t="s">
        <v>81</v>
      </c>
      <c r="B105" s="1" t="b">
        <f>OR(IFERROR(MATCH($A105,Table1[Locode],0)&gt;0,FALSE))</f>
        <v>1</v>
      </c>
      <c r="C105" s="2" t="str">
        <f>IF(Table2[[#This Row],[Val_count]],Table2[[#This Row],[Sel_port]],Table2[[#This Row],[up]])</f>
        <v>MYPKG</v>
      </c>
      <c r="D105">
        <f>INDEX(Table1[PortCallCostFixed],MATCH(Table2[[#This Row],[Copy From]],Table1[Locode],0))</f>
        <v>2549</v>
      </c>
      <c r="E105">
        <f>INT(INDEX(Table1[PortCallCostPerFFE],MATCH(Table2[[#This Row],[Copy From]],Table1[Locode],0))/2)</f>
        <v>1</v>
      </c>
      <c r="F105">
        <f>Table2[[#This Row],[fp]]+Table2[[#This Row],[vp]]*1500</f>
        <v>4049</v>
      </c>
      <c r="G105">
        <f>Table2[[#This Row],[fp]]+Table2[[#This Row],[vp]]*5000</f>
        <v>7549</v>
      </c>
      <c r="H105">
        <f>Table2[[#This Row],[fp]]+Table2[[#This Row],[vp]]*10000</f>
        <v>12549</v>
      </c>
      <c r="I105">
        <f>Table2[[#This Row],[fp]]+Table2[[#This Row],[vp]]*18000</f>
        <v>20549</v>
      </c>
      <c r="J105">
        <f>INT(INDEX(Table1[CostPerFULL],MATCH(Table2[[#This Row],[Copy From]],Table1[Locode],0))/2)</f>
        <v>25</v>
      </c>
      <c r="K105">
        <f>INT(INDEX(Table1[CostPerFULLTrnsf],MATCH(Table2[[#This Row],[Copy From]],Table1[Locode],0))/2)</f>
        <v>17</v>
      </c>
      <c r="L105" s="2"/>
    </row>
    <row r="106" spans="1:12" x14ac:dyDescent="0.3">
      <c r="A106" t="s">
        <v>70</v>
      </c>
      <c r="B106" s="1" t="b">
        <f>OR(IFERROR(MATCH($A106,Table1[Locode],0)&gt;0,FALSE))</f>
        <v>1</v>
      </c>
      <c r="C106" s="2" t="str">
        <f>IF(Table2[[#This Row],[Val_count]],Table2[[#This Row],[Sel_port]],Table2[[#This Row],[up]])</f>
        <v>MYTPP</v>
      </c>
      <c r="D106">
        <f>INDEX(Table1[PortCallCostFixed],MATCH(Table2[[#This Row],[Copy From]],Table1[Locode],0))</f>
        <v>1992</v>
      </c>
      <c r="E106">
        <f>INT(INDEX(Table1[PortCallCostPerFFE],MATCH(Table2[[#This Row],[Copy From]],Table1[Locode],0))/2)</f>
        <v>1</v>
      </c>
      <c r="F106">
        <f>Table2[[#This Row],[fp]]+Table2[[#This Row],[vp]]*1500</f>
        <v>3492</v>
      </c>
      <c r="G106">
        <f>Table2[[#This Row],[fp]]+Table2[[#This Row],[vp]]*5000</f>
        <v>6992</v>
      </c>
      <c r="H106">
        <f>Table2[[#This Row],[fp]]+Table2[[#This Row],[vp]]*10000</f>
        <v>11992</v>
      </c>
      <c r="I106">
        <f>Table2[[#This Row],[fp]]+Table2[[#This Row],[vp]]*18000</f>
        <v>19992</v>
      </c>
      <c r="J106">
        <f>INT(INDEX(Table1[CostPerFULL],MATCH(Table2[[#This Row],[Copy From]],Table1[Locode],0))/2)</f>
        <v>57</v>
      </c>
      <c r="K106">
        <f>INT(INDEX(Table1[CostPerFULLTrnsf],MATCH(Table2[[#This Row],[Copy From]],Table1[Locode],0))/2)</f>
        <v>29</v>
      </c>
      <c r="L106" s="2"/>
    </row>
    <row r="107" spans="1:12" x14ac:dyDescent="0.3">
      <c r="A107" t="s">
        <v>198</v>
      </c>
      <c r="B107" s="1" t="b">
        <f>OR(IFERROR(MATCH($A107,Table1[Locode],0)&gt;0,FALSE))</f>
        <v>0</v>
      </c>
      <c r="C107" s="2" t="str">
        <f>IF(Table2[[#This Row],[Val_count]],Table2[[#This Row],[Sel_port]],Table2[[#This Row],[up]])</f>
        <v>PHMNL</v>
      </c>
      <c r="D107">
        <f>INDEX(Table1[PortCallCostFixed],MATCH(Table2[[#This Row],[Copy From]],Table1[Locode],0))</f>
        <v>3125</v>
      </c>
      <c r="E107">
        <f>INT(INDEX(Table1[PortCallCostPerFFE],MATCH(Table2[[#This Row],[Copy From]],Table1[Locode],0))/2)</f>
        <v>3</v>
      </c>
      <c r="F107">
        <f>Table2[[#This Row],[fp]]+Table2[[#This Row],[vp]]*1500</f>
        <v>7625</v>
      </c>
      <c r="G107">
        <f>Table2[[#This Row],[fp]]+Table2[[#This Row],[vp]]*5000</f>
        <v>18125</v>
      </c>
      <c r="H107">
        <f>Table2[[#This Row],[fp]]+Table2[[#This Row],[vp]]*10000</f>
        <v>33125</v>
      </c>
      <c r="I107">
        <f>Table2[[#This Row],[fp]]+Table2[[#This Row],[vp]]*18000</f>
        <v>57125</v>
      </c>
      <c r="J107">
        <f>INT(INDEX(Table1[CostPerFULL],MATCH(Table2[[#This Row],[Copy From]],Table1[Locode],0))/2)</f>
        <v>75</v>
      </c>
      <c r="K107">
        <f>INT(INDEX(Table1[CostPerFULLTrnsf],MATCH(Table2[[#This Row],[Copy From]],Table1[Locode],0))/2)</f>
        <v>0</v>
      </c>
      <c r="L107" t="s">
        <v>127</v>
      </c>
    </row>
    <row r="108" spans="1:12" x14ac:dyDescent="0.3">
      <c r="A108" t="s">
        <v>196</v>
      </c>
      <c r="B108" s="1" t="b">
        <f>OR(IFERROR(MATCH($A108,Table1[Locode],0)&gt;0,FALSE))</f>
        <v>0</v>
      </c>
      <c r="C108" s="2" t="str">
        <f>IF(Table2[[#This Row],[Val_count]],Table2[[#This Row],[Sel_port]],Table2[[#This Row],[up]])</f>
        <v>PHDVO</v>
      </c>
      <c r="D108">
        <f>INDEX(Table1[PortCallCostFixed],MATCH(Table2[[#This Row],[Copy From]],Table1[Locode],0))</f>
        <v>3182</v>
      </c>
      <c r="E108">
        <f>INT(INDEX(Table1[PortCallCostPerFFE],MATCH(Table2[[#This Row],[Copy From]],Table1[Locode],0))/2)</f>
        <v>3</v>
      </c>
      <c r="F108">
        <f>Table2[[#This Row],[fp]]+Table2[[#This Row],[vp]]*1500</f>
        <v>7682</v>
      </c>
      <c r="G108">
        <f>Table2[[#This Row],[fp]]+Table2[[#This Row],[vp]]*5000</f>
        <v>18182</v>
      </c>
      <c r="H108">
        <f>Table2[[#This Row],[fp]]+Table2[[#This Row],[vp]]*10000</f>
        <v>33182</v>
      </c>
      <c r="I108">
        <f>Table2[[#This Row],[fp]]+Table2[[#This Row],[vp]]*18000</f>
        <v>57182</v>
      </c>
      <c r="J108">
        <f>INT(INDEX(Table1[CostPerFULL],MATCH(Table2[[#This Row],[Copy From]],Table1[Locode],0))/2)</f>
        <v>13</v>
      </c>
      <c r="K108">
        <f>INT(INDEX(Table1[CostPerFULLTrnsf],MATCH(Table2[[#This Row],[Copy From]],Table1[Locode],0))/2)</f>
        <v>42</v>
      </c>
      <c r="L108" t="s">
        <v>199</v>
      </c>
    </row>
    <row r="109" spans="1:12" x14ac:dyDescent="0.3">
      <c r="A109" t="s">
        <v>199</v>
      </c>
      <c r="B109" s="1" t="b">
        <f>OR(IFERROR(MATCH($A109,Table1[Locode],0)&gt;0,FALSE))</f>
        <v>1</v>
      </c>
      <c r="C109" s="2" t="str">
        <f>IF(Table2[[#This Row],[Val_count]],Table2[[#This Row],[Sel_port]],Table2[[#This Row],[up]])</f>
        <v>PHDVO</v>
      </c>
      <c r="D109">
        <f>INDEX(Table1[PortCallCostFixed],MATCH(Table2[[#This Row],[Copy From]],Table1[Locode],0))</f>
        <v>3182</v>
      </c>
      <c r="E109">
        <f>INT(INDEX(Table1[PortCallCostPerFFE],MATCH(Table2[[#This Row],[Copy From]],Table1[Locode],0))/2)</f>
        <v>3</v>
      </c>
      <c r="F109">
        <f>Table2[[#This Row],[fp]]+Table2[[#This Row],[vp]]*1500</f>
        <v>7682</v>
      </c>
      <c r="G109">
        <f>Table2[[#This Row],[fp]]+Table2[[#This Row],[vp]]*5000</f>
        <v>18182</v>
      </c>
      <c r="H109">
        <f>Table2[[#This Row],[fp]]+Table2[[#This Row],[vp]]*10000</f>
        <v>33182</v>
      </c>
      <c r="I109">
        <f>Table2[[#This Row],[fp]]+Table2[[#This Row],[vp]]*18000</f>
        <v>57182</v>
      </c>
      <c r="J109">
        <f>INT(INDEX(Table1[CostPerFULL],MATCH(Table2[[#This Row],[Copy From]],Table1[Locode],0))/2)</f>
        <v>13</v>
      </c>
      <c r="K109">
        <f>INT(INDEX(Table1[CostPerFULLTrnsf],MATCH(Table2[[#This Row],[Copy From]],Table1[Locode],0))/2)</f>
        <v>42</v>
      </c>
      <c r="L109" s="2"/>
    </row>
    <row r="110" spans="1:12" x14ac:dyDescent="0.3">
      <c r="A110" t="s">
        <v>127</v>
      </c>
      <c r="B110" s="1" t="b">
        <f>OR(IFERROR(MATCH($A110,Table1[Locode],0)&gt;0,FALSE))</f>
        <v>1</v>
      </c>
      <c r="C110" s="2" t="str">
        <f>IF(Table2[[#This Row],[Val_count]],Table2[[#This Row],[Sel_port]],Table2[[#This Row],[up]])</f>
        <v>PHMNL</v>
      </c>
      <c r="D110">
        <f>INDEX(Table1[PortCallCostFixed],MATCH(Table2[[#This Row],[Copy From]],Table1[Locode],0))</f>
        <v>3125</v>
      </c>
      <c r="E110">
        <f>INT(INDEX(Table1[PortCallCostPerFFE],MATCH(Table2[[#This Row],[Copy From]],Table1[Locode],0))/2)</f>
        <v>3</v>
      </c>
      <c r="F110">
        <f>Table2[[#This Row],[fp]]+Table2[[#This Row],[vp]]*1500</f>
        <v>7625</v>
      </c>
      <c r="G110">
        <f>Table2[[#This Row],[fp]]+Table2[[#This Row],[vp]]*5000</f>
        <v>18125</v>
      </c>
      <c r="H110">
        <f>Table2[[#This Row],[fp]]+Table2[[#This Row],[vp]]*10000</f>
        <v>33125</v>
      </c>
      <c r="I110">
        <f>Table2[[#This Row],[fp]]+Table2[[#This Row],[vp]]*18000</f>
        <v>57125</v>
      </c>
      <c r="J110">
        <f>INT(INDEX(Table1[CostPerFULL],MATCH(Table2[[#This Row],[Copy From]],Table1[Locode],0))/2)</f>
        <v>75</v>
      </c>
      <c r="K110">
        <f>INT(INDEX(Table1[CostPerFULLTrnsf],MATCH(Table2[[#This Row],[Copy From]],Table1[Locode],0))/2)</f>
        <v>0</v>
      </c>
      <c r="L110" s="2"/>
    </row>
    <row r="111" spans="1:12" x14ac:dyDescent="0.3">
      <c r="A111" t="s">
        <v>197</v>
      </c>
      <c r="B111" s="1" t="b">
        <f>OR(IFERROR(MATCH($A111,Table1[Locode],0)&gt;0,FALSE))</f>
        <v>0</v>
      </c>
      <c r="C111" s="2" t="str">
        <f>IF(Table2[[#This Row],[Val_count]],Table2[[#This Row],[Sel_port]],Table2[[#This Row],[up]])</f>
        <v>PHMNL</v>
      </c>
      <c r="D111">
        <f>INDEX(Table1[PortCallCostFixed],MATCH(Table2[[#This Row],[Copy From]],Table1[Locode],0))</f>
        <v>3125</v>
      </c>
      <c r="E111">
        <f>INT(INDEX(Table1[PortCallCostPerFFE],MATCH(Table2[[#This Row],[Copy From]],Table1[Locode],0))/2)</f>
        <v>3</v>
      </c>
      <c r="F111">
        <f>Table2[[#This Row],[fp]]+Table2[[#This Row],[vp]]*1500</f>
        <v>7625</v>
      </c>
      <c r="G111">
        <f>Table2[[#This Row],[fp]]+Table2[[#This Row],[vp]]*5000</f>
        <v>18125</v>
      </c>
      <c r="H111">
        <f>Table2[[#This Row],[fp]]+Table2[[#This Row],[vp]]*10000</f>
        <v>33125</v>
      </c>
      <c r="I111">
        <f>Table2[[#This Row],[fp]]+Table2[[#This Row],[vp]]*18000</f>
        <v>57125</v>
      </c>
      <c r="J111">
        <f>INT(INDEX(Table1[CostPerFULL],MATCH(Table2[[#This Row],[Copy From]],Table1[Locode],0))/2)</f>
        <v>75</v>
      </c>
      <c r="K111">
        <f>INT(INDEX(Table1[CostPerFULLTrnsf],MATCH(Table2[[#This Row],[Copy From]],Table1[Locode],0))/2)</f>
        <v>0</v>
      </c>
      <c r="L111" t="s">
        <v>127</v>
      </c>
    </row>
    <row r="112" spans="1:12" x14ac:dyDescent="0.3">
      <c r="A112" t="s">
        <v>141</v>
      </c>
      <c r="B112" s="1" t="b">
        <f>OR(IFERROR(MATCH($A112,Table1[Locode],0)&gt;0,FALSE))</f>
        <v>1</v>
      </c>
      <c r="C112" s="2" t="str">
        <f>IF(Table2[[#This Row],[Val_count]],Table2[[#This Row],[Sel_port]],Table2[[#This Row],[up]])</f>
        <v>PKBQM</v>
      </c>
      <c r="D112">
        <f>INDEX(Table1[PortCallCostFixed],MATCH(Table2[[#This Row],[Copy From]],Table1[Locode],0))</f>
        <v>7581</v>
      </c>
      <c r="E112">
        <f>INT(INDEX(Table1[PortCallCostPerFFE],MATCH(Table2[[#This Row],[Copy From]],Table1[Locode],0))/2)</f>
        <v>11</v>
      </c>
      <c r="F112">
        <f>Table2[[#This Row],[fp]]+Table2[[#This Row],[vp]]*1500</f>
        <v>24081</v>
      </c>
      <c r="G112">
        <f>Table2[[#This Row],[fp]]+Table2[[#This Row],[vp]]*5000</f>
        <v>62581</v>
      </c>
      <c r="H112">
        <f>Table2[[#This Row],[fp]]+Table2[[#This Row],[vp]]*10000</f>
        <v>117581</v>
      </c>
      <c r="I112">
        <f>Table2[[#This Row],[fp]]+Table2[[#This Row],[vp]]*18000</f>
        <v>205581</v>
      </c>
      <c r="J112">
        <f>INT(INDEX(Table1[CostPerFULL],MATCH(Table2[[#This Row],[Copy From]],Table1[Locode],0))/2)</f>
        <v>51</v>
      </c>
      <c r="K112">
        <f>INT(INDEX(Table1[CostPerFULLTrnsf],MATCH(Table2[[#This Row],[Copy From]],Table1[Locode],0))/2)</f>
        <v>30</v>
      </c>
      <c r="L112" s="2"/>
    </row>
    <row r="113" spans="1:12" x14ac:dyDescent="0.3">
      <c r="A113" t="s">
        <v>117</v>
      </c>
      <c r="B113" s="1" t="b">
        <f>OR(IFERROR(MATCH($A113,Table1[Locode],0)&gt;0,FALSE))</f>
        <v>1</v>
      </c>
      <c r="C113" s="2" t="str">
        <f>IF(Table2[[#This Row],[Val_count]],Table2[[#This Row],[Sel_port]],Table2[[#This Row],[up]])</f>
        <v>PKKHI</v>
      </c>
      <c r="D113">
        <f>INDEX(Table1[PortCallCostFixed],MATCH(Table2[[#This Row],[Copy From]],Table1[Locode],0))</f>
        <v>9262</v>
      </c>
      <c r="E113">
        <f>INT(INDEX(Table1[PortCallCostPerFFE],MATCH(Table2[[#This Row],[Copy From]],Table1[Locode],0))/2)</f>
        <v>24</v>
      </c>
      <c r="F113">
        <f>Table2[[#This Row],[fp]]+Table2[[#This Row],[vp]]*1500</f>
        <v>45262</v>
      </c>
      <c r="G113">
        <f>Table2[[#This Row],[fp]]+Table2[[#This Row],[vp]]*5000</f>
        <v>129262</v>
      </c>
      <c r="H113">
        <f>Table2[[#This Row],[fp]]+Table2[[#This Row],[vp]]*10000</f>
        <v>249262</v>
      </c>
      <c r="I113">
        <f>Table2[[#This Row],[fp]]+Table2[[#This Row],[vp]]*18000</f>
        <v>441262</v>
      </c>
      <c r="J113">
        <f>INT(INDEX(Table1[CostPerFULL],MATCH(Table2[[#This Row],[Copy From]],Table1[Locode],0))/2)</f>
        <v>128</v>
      </c>
      <c r="K113">
        <f>INT(INDEX(Table1[CostPerFULLTrnsf],MATCH(Table2[[#This Row],[Copy From]],Table1[Locode],0))/2)</f>
        <v>0</v>
      </c>
      <c r="L113" s="2"/>
    </row>
    <row r="114" spans="1:12" x14ac:dyDescent="0.3">
      <c r="A114" t="s">
        <v>63</v>
      </c>
      <c r="B114" s="1" t="b">
        <f>OR(IFERROR(MATCH($A114,Table1[Locode],0)&gt;0,FALSE))</f>
        <v>1</v>
      </c>
      <c r="C114" s="2" t="str">
        <f>IF(Table2[[#This Row],[Val_count]],Table2[[#This Row],[Sel_port]],Table2[[#This Row],[up]])</f>
        <v>SGSIN</v>
      </c>
      <c r="D114">
        <f>INDEX(Table1[PortCallCostFixed],MATCH(Table2[[#This Row],[Copy From]],Table1[Locode],0))</f>
        <v>3268</v>
      </c>
      <c r="E114">
        <f>INT(INDEX(Table1[PortCallCostPerFFE],MATCH(Table2[[#This Row],[Copy From]],Table1[Locode],0))/2)</f>
        <v>0</v>
      </c>
      <c r="F114">
        <f>Table2[[#This Row],[fp]]+Table2[[#This Row],[vp]]*1500</f>
        <v>3268</v>
      </c>
      <c r="G114">
        <f>Table2[[#This Row],[fp]]+Table2[[#This Row],[vp]]*5000</f>
        <v>3268</v>
      </c>
      <c r="H114">
        <f>Table2[[#This Row],[fp]]+Table2[[#This Row],[vp]]*10000</f>
        <v>3268</v>
      </c>
      <c r="I114">
        <f>Table2[[#This Row],[fp]]+Table2[[#This Row],[vp]]*18000</f>
        <v>3268</v>
      </c>
      <c r="J114">
        <f>INT(INDEX(Table1[CostPerFULL],MATCH(Table2[[#This Row],[Copy From]],Table1[Locode],0))/2)</f>
        <v>65</v>
      </c>
      <c r="K114">
        <f>INT(INDEX(Table1[CostPerFULLTrnsf],MATCH(Table2[[#This Row],[Copy From]],Table1[Locode],0))/2)</f>
        <v>42</v>
      </c>
    </row>
    <row r="115" spans="1:12" x14ac:dyDescent="0.3">
      <c r="A115" t="s">
        <v>200</v>
      </c>
      <c r="B115" s="1" t="b">
        <f>OR(IFERROR(MATCH($A115,Table1[Locode],0)&gt;0,FALSE))</f>
        <v>0</v>
      </c>
      <c r="C115" s="2" t="str">
        <f>IF(Table2[[#This Row],[Val_count]],Table2[[#This Row],[Sel_port]],Table2[[#This Row],[up]])</f>
        <v>THLCH</v>
      </c>
      <c r="D115">
        <f>INDEX(Table1[PortCallCostFixed],MATCH(Table2[[#This Row],[Copy From]],Table1[Locode],0))</f>
        <v>899</v>
      </c>
      <c r="E115">
        <f>INT(INDEX(Table1[PortCallCostPerFFE],MATCH(Table2[[#This Row],[Copy From]],Table1[Locode],0))/2)</f>
        <v>3</v>
      </c>
      <c r="F115">
        <f>Table2[[#This Row],[fp]]+Table2[[#This Row],[vp]]*1500</f>
        <v>5399</v>
      </c>
      <c r="G115">
        <f>Table2[[#This Row],[fp]]+Table2[[#This Row],[vp]]*5000</f>
        <v>15899</v>
      </c>
      <c r="H115">
        <f>Table2[[#This Row],[fp]]+Table2[[#This Row],[vp]]*10000</f>
        <v>30899</v>
      </c>
      <c r="I115">
        <f>Table2[[#This Row],[fp]]+Table2[[#This Row],[vp]]*18000</f>
        <v>54899</v>
      </c>
      <c r="J115">
        <f>INT(INDEX(Table1[CostPerFULL],MATCH(Table2[[#This Row],[Copy From]],Table1[Locode],0))/2)</f>
        <v>47</v>
      </c>
      <c r="K115">
        <f>INT(INDEX(Table1[CostPerFULLTrnsf],MATCH(Table2[[#This Row],[Copy From]],Table1[Locode],0))/2)</f>
        <v>0</v>
      </c>
      <c r="L115" t="s">
        <v>143</v>
      </c>
    </row>
    <row r="116" spans="1:12" x14ac:dyDescent="0.3">
      <c r="A116" t="s">
        <v>143</v>
      </c>
      <c r="B116" s="1" t="b">
        <f>OR(IFERROR(MATCH($A116,Table1[Locode],0)&gt;0,FALSE))</f>
        <v>1</v>
      </c>
      <c r="C116" s="2" t="str">
        <f>IF(Table2[[#This Row],[Val_count]],Table2[[#This Row],[Sel_port]],Table2[[#This Row],[up]])</f>
        <v>THLCH</v>
      </c>
      <c r="D116">
        <f>INDEX(Table1[PortCallCostFixed],MATCH(Table2[[#This Row],[Copy From]],Table1[Locode],0))</f>
        <v>899</v>
      </c>
      <c r="E116">
        <f>INT(INDEX(Table1[PortCallCostPerFFE],MATCH(Table2[[#This Row],[Copy From]],Table1[Locode],0))/2)</f>
        <v>3</v>
      </c>
      <c r="F116">
        <f>Table2[[#This Row],[fp]]+Table2[[#This Row],[vp]]*1500</f>
        <v>5399</v>
      </c>
      <c r="G116">
        <f>Table2[[#This Row],[fp]]+Table2[[#This Row],[vp]]*5000</f>
        <v>15899</v>
      </c>
      <c r="H116">
        <f>Table2[[#This Row],[fp]]+Table2[[#This Row],[vp]]*10000</f>
        <v>30899</v>
      </c>
      <c r="I116">
        <f>Table2[[#This Row],[fp]]+Table2[[#This Row],[vp]]*18000</f>
        <v>54899</v>
      </c>
      <c r="J116">
        <f>INT(INDEX(Table1[CostPerFULL],MATCH(Table2[[#This Row],[Copy From]],Table1[Locode],0))/2)</f>
        <v>47</v>
      </c>
      <c r="K116">
        <f>INT(INDEX(Table1[CostPerFULLTrnsf],MATCH(Table2[[#This Row],[Copy From]],Table1[Locode],0))/2)</f>
        <v>0</v>
      </c>
      <c r="L116" s="2"/>
    </row>
    <row r="117" spans="1:12" x14ac:dyDescent="0.3">
      <c r="A117" t="s">
        <v>155</v>
      </c>
      <c r="B117" s="1" t="b">
        <f>OR(IFERROR(MATCH($A117,Table1[Locode],0)&gt;0,FALSE))</f>
        <v>1</v>
      </c>
      <c r="C117" s="2" t="str">
        <f>IF(Table2[[#This Row],[Val_count]],Table2[[#This Row],[Sel_port]],Table2[[#This Row],[up]])</f>
        <v>THSGZ</v>
      </c>
      <c r="D117">
        <f>INDEX(Table1[PortCallCostFixed],MATCH(Table2[[#This Row],[Copy From]],Table1[Locode],0))</f>
        <v>3293</v>
      </c>
      <c r="E117">
        <f>INT(INDEX(Table1[PortCallCostPerFFE],MATCH(Table2[[#This Row],[Copy From]],Table1[Locode],0))/2)</f>
        <v>5</v>
      </c>
      <c r="F117">
        <f>Table2[[#This Row],[fp]]+Table2[[#This Row],[vp]]*1500</f>
        <v>10793</v>
      </c>
      <c r="G117">
        <f>Table2[[#This Row],[fp]]+Table2[[#This Row],[vp]]*5000</f>
        <v>28293</v>
      </c>
      <c r="H117">
        <f>Table2[[#This Row],[fp]]+Table2[[#This Row],[vp]]*10000</f>
        <v>53293</v>
      </c>
      <c r="I117">
        <f>Table2[[#This Row],[fp]]+Table2[[#This Row],[vp]]*18000</f>
        <v>93293</v>
      </c>
      <c r="J117">
        <f>INT(INDEX(Table1[CostPerFULL],MATCH(Table2[[#This Row],[Copy From]],Table1[Locode],0))/2)</f>
        <v>41</v>
      </c>
      <c r="K117">
        <f>INT(INDEX(Table1[CostPerFULLTrnsf],MATCH(Table2[[#This Row],[Copy From]],Table1[Locode],0))/2)</f>
        <v>32</v>
      </c>
      <c r="L117" s="2"/>
    </row>
    <row r="118" spans="1:12" x14ac:dyDescent="0.3">
      <c r="A118" t="s">
        <v>115</v>
      </c>
      <c r="B118" s="1" t="b">
        <f>OR(IFERROR(MATCH($A118,Table1[Locode],0)&gt;0,FALSE))</f>
        <v>1</v>
      </c>
      <c r="C118" s="2" t="str">
        <f>IF(Table2[[#This Row],[Val_count]],Table2[[#This Row],[Sel_port]],Table2[[#This Row],[up]])</f>
        <v>TWKEL</v>
      </c>
      <c r="D118">
        <f>INDEX(Table1[PortCallCostFixed],MATCH(Table2[[#This Row],[Copy From]],Table1[Locode],0))</f>
        <v>3213</v>
      </c>
      <c r="E118">
        <f>INT(INDEX(Table1[PortCallCostPerFFE],MATCH(Table2[[#This Row],[Copy From]],Table1[Locode],0))/2)</f>
        <v>4</v>
      </c>
      <c r="F118">
        <f>Table2[[#This Row],[fp]]+Table2[[#This Row],[vp]]*1500</f>
        <v>9213</v>
      </c>
      <c r="G118">
        <f>Table2[[#This Row],[fp]]+Table2[[#This Row],[vp]]*5000</f>
        <v>23213</v>
      </c>
      <c r="H118">
        <f>Table2[[#This Row],[fp]]+Table2[[#This Row],[vp]]*10000</f>
        <v>43213</v>
      </c>
      <c r="I118">
        <f>Table2[[#This Row],[fp]]+Table2[[#This Row],[vp]]*18000</f>
        <v>75213</v>
      </c>
      <c r="J118">
        <f>INT(INDEX(Table1[CostPerFULL],MATCH(Table2[[#This Row],[Copy From]],Table1[Locode],0))/2)</f>
        <v>63</v>
      </c>
      <c r="K118">
        <f>INT(INDEX(Table1[CostPerFULLTrnsf],MATCH(Table2[[#This Row],[Copy From]],Table1[Locode],0))/2)</f>
        <v>41</v>
      </c>
      <c r="L118" s="2"/>
    </row>
    <row r="119" spans="1:12" x14ac:dyDescent="0.3">
      <c r="A119" t="s">
        <v>105</v>
      </c>
      <c r="B119" s="1" t="b">
        <f>OR(IFERROR(MATCH($A119,Table1[Locode],0)&gt;0,FALSE))</f>
        <v>1</v>
      </c>
      <c r="C119" s="2" t="str">
        <f>IF(Table2[[#This Row],[Val_count]],Table2[[#This Row],[Sel_port]],Table2[[#This Row],[up]])</f>
        <v>TWKHH</v>
      </c>
      <c r="D119">
        <f>INDEX(Table1[PortCallCostFixed],MATCH(Table2[[#This Row],[Copy From]],Table1[Locode],0))</f>
        <v>2231</v>
      </c>
      <c r="E119">
        <f>INT(INDEX(Table1[PortCallCostPerFFE],MATCH(Table2[[#This Row],[Copy From]],Table1[Locode],0))/2)</f>
        <v>1</v>
      </c>
      <c r="F119">
        <f>Table2[[#This Row],[fp]]+Table2[[#This Row],[vp]]*1500</f>
        <v>3731</v>
      </c>
      <c r="G119">
        <f>Table2[[#This Row],[fp]]+Table2[[#This Row],[vp]]*5000</f>
        <v>7231</v>
      </c>
      <c r="H119">
        <f>Table2[[#This Row],[fp]]+Table2[[#This Row],[vp]]*10000</f>
        <v>12231</v>
      </c>
      <c r="I119">
        <f>Table2[[#This Row],[fp]]+Table2[[#This Row],[vp]]*18000</f>
        <v>20231</v>
      </c>
      <c r="J119">
        <f>INT(INDEX(Table1[CostPerFULL],MATCH(Table2[[#This Row],[Copy From]],Table1[Locode],0))/2)</f>
        <v>9</v>
      </c>
      <c r="K119">
        <f>INT(INDEX(Table1[CostPerFULLTrnsf],MATCH(Table2[[#This Row],[Copy From]],Table1[Locode],0))/2)</f>
        <v>12</v>
      </c>
      <c r="L119" s="2"/>
    </row>
    <row r="120" spans="1:12" x14ac:dyDescent="0.3">
      <c r="A120" t="s">
        <v>202</v>
      </c>
      <c r="B120" s="1" t="b">
        <f>OR(IFERROR(MATCH($A120,Table1[Locode],0)&gt;0,FALSE))</f>
        <v>0</v>
      </c>
      <c r="C120" s="2" t="str">
        <f>IF(Table2[[#This Row],[Val_count]],Table2[[#This Row],[Sel_port]],Table2[[#This Row],[up]])</f>
        <v>TWKEL</v>
      </c>
      <c r="D120">
        <f>INDEX(Table1[PortCallCostFixed],MATCH(Table2[[#This Row],[Copy From]],Table1[Locode],0))</f>
        <v>3213</v>
      </c>
      <c r="E120">
        <f>INT(INDEX(Table1[PortCallCostPerFFE],MATCH(Table2[[#This Row],[Copy From]],Table1[Locode],0))/2)</f>
        <v>4</v>
      </c>
      <c r="F120">
        <f>Table2[[#This Row],[fp]]+Table2[[#This Row],[vp]]*1500</f>
        <v>9213</v>
      </c>
      <c r="G120">
        <f>Table2[[#This Row],[fp]]+Table2[[#This Row],[vp]]*5000</f>
        <v>23213</v>
      </c>
      <c r="H120">
        <f>Table2[[#This Row],[fp]]+Table2[[#This Row],[vp]]*10000</f>
        <v>43213</v>
      </c>
      <c r="I120">
        <f>Table2[[#This Row],[fp]]+Table2[[#This Row],[vp]]*18000</f>
        <v>75213</v>
      </c>
      <c r="J120">
        <f>INT(INDEX(Table1[CostPerFULL],MATCH(Table2[[#This Row],[Copy From]],Table1[Locode],0))/2)</f>
        <v>63</v>
      </c>
      <c r="K120">
        <f>INT(INDEX(Table1[CostPerFULLTrnsf],MATCH(Table2[[#This Row],[Copy From]],Table1[Locode],0))/2)</f>
        <v>41</v>
      </c>
      <c r="L120" t="s">
        <v>115</v>
      </c>
    </row>
    <row r="121" spans="1:12" x14ac:dyDescent="0.3">
      <c r="A121" t="s">
        <v>201</v>
      </c>
      <c r="B121" s="1" t="b">
        <f>OR(IFERROR(MATCH($A121,Table1[Locode],0)&gt;0,FALSE))</f>
        <v>0</v>
      </c>
      <c r="C121" s="2" t="str">
        <f>IF(Table2[[#This Row],[Val_count]],Table2[[#This Row],[Sel_port]],Table2[[#This Row],[up]])</f>
        <v>TWKEL</v>
      </c>
      <c r="D121">
        <f>INDEX(Table1[PortCallCostFixed],MATCH(Table2[[#This Row],[Copy From]],Table1[Locode],0))</f>
        <v>3213</v>
      </c>
      <c r="E121">
        <f>INT(INDEX(Table1[PortCallCostPerFFE],MATCH(Table2[[#This Row],[Copy From]],Table1[Locode],0))/2)</f>
        <v>4</v>
      </c>
      <c r="F121">
        <f>Table2[[#This Row],[fp]]+Table2[[#This Row],[vp]]*1500</f>
        <v>9213</v>
      </c>
      <c r="G121">
        <f>Table2[[#This Row],[fp]]+Table2[[#This Row],[vp]]*5000</f>
        <v>23213</v>
      </c>
      <c r="H121">
        <f>Table2[[#This Row],[fp]]+Table2[[#This Row],[vp]]*10000</f>
        <v>43213</v>
      </c>
      <c r="I121">
        <f>Table2[[#This Row],[fp]]+Table2[[#This Row],[vp]]*18000</f>
        <v>75213</v>
      </c>
      <c r="J121">
        <f>INT(INDEX(Table1[CostPerFULL],MATCH(Table2[[#This Row],[Copy From]],Table1[Locode],0))/2)</f>
        <v>63</v>
      </c>
      <c r="K121">
        <f>INT(INDEX(Table1[CostPerFULLTrnsf],MATCH(Table2[[#This Row],[Copy From]],Table1[Locode],0))/2)</f>
        <v>41</v>
      </c>
      <c r="L121" t="s">
        <v>115</v>
      </c>
    </row>
    <row r="122" spans="1:12" x14ac:dyDescent="0.3">
      <c r="A122" t="s">
        <v>157</v>
      </c>
      <c r="B122" s="1" t="b">
        <f>OR(IFERROR(MATCH($A122,Table1[Locode],0)&gt;0,FALSE))</f>
        <v>1</v>
      </c>
      <c r="C122" s="2" t="str">
        <f>IF(Table2[[#This Row],[Val_count]],Table2[[#This Row],[Sel_port]],Table2[[#This Row],[up]])</f>
        <v>VNHPH</v>
      </c>
      <c r="D122">
        <f>INDEX(Table1[PortCallCostFixed],MATCH(Table2[[#This Row],[Copy From]],Table1[Locode],0))</f>
        <v>3112</v>
      </c>
      <c r="E122">
        <f>INT(INDEX(Table1[PortCallCostPerFFE],MATCH(Table2[[#This Row],[Copy From]],Table1[Locode],0))/2)</f>
        <v>4</v>
      </c>
      <c r="F122">
        <f>Table2[[#This Row],[fp]]+Table2[[#This Row],[vp]]*1500</f>
        <v>9112</v>
      </c>
      <c r="G122">
        <f>Table2[[#This Row],[fp]]+Table2[[#This Row],[vp]]*5000</f>
        <v>23112</v>
      </c>
      <c r="H122">
        <f>Table2[[#This Row],[fp]]+Table2[[#This Row],[vp]]*10000</f>
        <v>43112</v>
      </c>
      <c r="I122">
        <f>Table2[[#This Row],[fp]]+Table2[[#This Row],[vp]]*18000</f>
        <v>75112</v>
      </c>
      <c r="J122">
        <f>INT(INDEX(Table1[CostPerFULL],MATCH(Table2[[#This Row],[Copy From]],Table1[Locode],0))/2)</f>
        <v>38</v>
      </c>
      <c r="K122">
        <f>INT(INDEX(Table1[CostPerFULLTrnsf],MATCH(Table2[[#This Row],[Copy From]],Table1[Locode],0))/2)</f>
        <v>1</v>
      </c>
      <c r="L122" s="2"/>
    </row>
    <row r="123" spans="1:12" x14ac:dyDescent="0.3">
      <c r="A123" t="s">
        <v>165</v>
      </c>
      <c r="B123" s="1" t="b">
        <f>OR(IFERROR(MATCH($A123,Table1[Locode],0)&gt;0,FALSE))</f>
        <v>1</v>
      </c>
      <c r="C123" s="2" t="str">
        <f>IF(Table2[[#This Row],[Val_count]],Table2[[#This Row],[Sel_port]],Table2[[#This Row],[up]])</f>
        <v>VNSGN</v>
      </c>
      <c r="D123">
        <f>INDEX(Table1[PortCallCostFixed],MATCH(Table2[[#This Row],[Copy From]],Table1[Locode],0))</f>
        <v>4067</v>
      </c>
      <c r="E123">
        <f>INT(INDEX(Table1[PortCallCostPerFFE],MATCH(Table2[[#This Row],[Copy From]],Table1[Locode],0))/2)</f>
        <v>3</v>
      </c>
      <c r="F123">
        <f>Table2[[#This Row],[fp]]+Table2[[#This Row],[vp]]*1500</f>
        <v>8567</v>
      </c>
      <c r="G123">
        <f>Table2[[#This Row],[fp]]+Table2[[#This Row],[vp]]*5000</f>
        <v>19067</v>
      </c>
      <c r="H123">
        <f>Table2[[#This Row],[fp]]+Table2[[#This Row],[vp]]*10000</f>
        <v>34067</v>
      </c>
      <c r="I123">
        <f>Table2[[#This Row],[fp]]+Table2[[#This Row],[vp]]*18000</f>
        <v>58067</v>
      </c>
      <c r="J123">
        <f>INT(INDEX(Table1[CostPerFULL],MATCH(Table2[[#This Row],[Copy From]],Table1[Locode],0))/2)</f>
        <v>45</v>
      </c>
      <c r="K123">
        <f>INT(INDEX(Table1[CostPerFULLTrnsf],MATCH(Table2[[#This Row],[Copy From]],Table1[Locode],0))/2)</f>
        <v>33</v>
      </c>
      <c r="L123" s="2"/>
    </row>
    <row r="125" spans="1:12" x14ac:dyDescent="0.3">
      <c r="A125" t="s">
        <v>241</v>
      </c>
    </row>
    <row r="126" spans="1:12" x14ac:dyDescent="0.3">
      <c r="A126" t="s">
        <v>242</v>
      </c>
    </row>
  </sheetData>
  <phoneticPr fontId="18" type="noConversion"/>
  <conditionalFormatting sqref="P2:P54 B57:B123">
    <cfRule type="cellIs" dxfId="0" priority="2" operator="equal">
      <formula>FALSE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LinerLib_fleet</vt:lpstr>
      <vt:lpstr>Wang_fleet</vt:lpstr>
      <vt:lpstr>LinerLib_Port</vt:lpstr>
      <vt:lpstr>int_c</vt:lpstr>
      <vt:lpstr>Sel_port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Krittitee Yanpisitkul</dc:creator>
  <cp:lastModifiedBy>Krittitee Yanpisitkul</cp:lastModifiedBy>
  <dcterms:created xsi:type="dcterms:W3CDTF">2022-01-25T10:01:33Z</dcterms:created>
  <dcterms:modified xsi:type="dcterms:W3CDTF">2022-02-20T14:45:46Z</dcterms:modified>
</cp:coreProperties>
</file>