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5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6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filterPrivacy="1"/>
  <xr:revisionPtr revIDLastSave="0" documentId="13_ncr:1_{B7E4DBBC-64CF-492D-AE8F-8D463C4C3105}" xr6:coauthVersionLast="47" xr6:coauthVersionMax="47" xr10:uidLastSave="{00000000-0000-0000-0000-000000000000}"/>
  <bookViews>
    <workbookView xWindow="-120" yWindow="-120" windowWidth="29040" windowHeight="15840" tabRatio="580" activeTab="3" xr2:uid="{00000000-000D-0000-FFFF-FFFF00000000}"/>
  </bookViews>
  <sheets>
    <sheet name="Studies" sheetId="1" r:id="rId1"/>
    <sheet name="Stakeholders Information" sheetId="2" r:id="rId2"/>
    <sheet name="MT Requirements" sheetId="3" r:id="rId3"/>
    <sheet name="MT Project Information" sheetId="4" r:id="rId4"/>
    <sheet name="Sheet1" sheetId="7" state="hidden" r:id="rId5"/>
    <sheet name="Methodology Information" sheetId="5" r:id="rId6"/>
    <sheet name="SLR Case Outcomes" sheetId="6" r:id="rId7"/>
  </sheets>
  <externalReferences>
    <externalReference r:id="rId8"/>
  </externalReferences>
  <definedNames>
    <definedName name="_xlnm._FilterDatabase" localSheetId="0" hidden="1">Studies!$A$2:$DB$266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1" i="4" l="1"/>
  <c r="C71" i="4" s="1"/>
  <c r="B70" i="4"/>
  <c r="C70" i="4" s="1"/>
  <c r="B65" i="4"/>
  <c r="C65" i="4" s="1"/>
  <c r="B64" i="4"/>
  <c r="C64" i="4" s="1"/>
  <c r="B57" i="4"/>
  <c r="C57" i="4" s="1"/>
  <c r="B58" i="4"/>
  <c r="C58" i="4" s="1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B45" i="6"/>
  <c r="B44" i="6"/>
  <c r="B43" i="6"/>
  <c r="B42" i="6"/>
  <c r="B28" i="6"/>
  <c r="B27" i="6"/>
  <c r="B26" i="6"/>
  <c r="B25" i="6"/>
  <c r="B12" i="6"/>
  <c r="B11" i="6"/>
  <c r="B10" i="6"/>
  <c r="B9" i="6"/>
  <c r="B8" i="6"/>
  <c r="B7" i="6"/>
  <c r="B6" i="6"/>
  <c r="B5" i="6"/>
  <c r="B4" i="6"/>
  <c r="B36" i="4"/>
  <c r="C36" i="4" s="1"/>
  <c r="B49" i="4"/>
  <c r="B50" i="4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B37" i="4"/>
  <c r="B26" i="4"/>
  <c r="B25" i="4"/>
  <c r="B24" i="4"/>
  <c r="B15" i="4"/>
  <c r="B14" i="4"/>
  <c r="B13" i="4"/>
  <c r="B12" i="4"/>
  <c r="B11" i="4"/>
  <c r="B10" i="4"/>
  <c r="B9" i="4"/>
  <c r="B8" i="4"/>
  <c r="B7" i="4"/>
  <c r="B6" i="4"/>
  <c r="B5" i="4"/>
  <c r="B4" i="4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29" i="3"/>
  <c r="B28" i="3"/>
  <c r="B27" i="3"/>
  <c r="B26" i="3"/>
  <c r="B25" i="3"/>
  <c r="B24" i="3"/>
  <c r="B23" i="3"/>
  <c r="B22" i="3"/>
  <c r="B21" i="3"/>
  <c r="B20" i="3"/>
  <c r="B19" i="3"/>
  <c r="B7" i="3"/>
  <c r="B6" i="3"/>
  <c r="B5" i="3"/>
  <c r="B4" i="3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4" i="2" l="1"/>
  <c r="C13" i="2"/>
  <c r="C12" i="2"/>
  <c r="C11" i="2"/>
  <c r="C10" i="2"/>
  <c r="C9" i="2"/>
  <c r="C8" i="2"/>
  <c r="C7" i="2"/>
  <c r="C6" i="2"/>
  <c r="C5" i="2"/>
  <c r="C4" i="2"/>
  <c r="I61" i="5"/>
  <c r="J61" i="5" s="1"/>
  <c r="I37" i="5"/>
  <c r="J37" i="5" s="1"/>
  <c r="I55" i="5"/>
  <c r="J55" i="5" s="1"/>
  <c r="I5" i="5"/>
  <c r="J5" i="5" s="1"/>
  <c r="D77" i="2"/>
  <c r="D45" i="5" l="1"/>
  <c r="D76" i="5"/>
  <c r="C45" i="6"/>
  <c r="C44" i="6"/>
  <c r="C43" i="6"/>
  <c r="C42" i="6"/>
  <c r="C28" i="6"/>
  <c r="C27" i="6"/>
  <c r="C26" i="6"/>
  <c r="C25" i="6"/>
  <c r="C12" i="6"/>
  <c r="C11" i="6"/>
  <c r="C10" i="6"/>
  <c r="C9" i="6"/>
  <c r="C8" i="6"/>
  <c r="C7" i="6"/>
  <c r="C6" i="6"/>
  <c r="C4" i="6"/>
  <c r="C5" i="6"/>
  <c r="D75" i="5"/>
  <c r="D74" i="5"/>
  <c r="D73" i="5"/>
  <c r="D72" i="5"/>
  <c r="D71" i="5"/>
  <c r="D70" i="5"/>
  <c r="D69" i="5"/>
  <c r="D68" i="5"/>
  <c r="D64" i="5"/>
  <c r="D63" i="5"/>
  <c r="D62" i="5"/>
  <c r="D60" i="5"/>
  <c r="D59" i="5"/>
  <c r="D57" i="5"/>
  <c r="D56" i="5"/>
  <c r="D55" i="5"/>
  <c r="D44" i="5"/>
  <c r="D42" i="5"/>
  <c r="D39" i="5"/>
  <c r="D38" i="5"/>
  <c r="D37" i="5"/>
  <c r="D35" i="5"/>
  <c r="D32" i="5"/>
  <c r="D31" i="5"/>
  <c r="D20" i="5"/>
  <c r="D18" i="5"/>
  <c r="D17" i="5"/>
  <c r="D16" i="5"/>
  <c r="D15" i="5"/>
  <c r="D14" i="5"/>
  <c r="D12" i="5"/>
  <c r="D13" i="5"/>
  <c r="D10" i="5"/>
  <c r="D8" i="5"/>
  <c r="D5" i="5"/>
  <c r="D6" i="5"/>
  <c r="D4" i="5"/>
  <c r="C49" i="4"/>
  <c r="C50" i="4"/>
  <c r="C37" i="4"/>
  <c r="C26" i="4"/>
  <c r="C25" i="4"/>
  <c r="C24" i="4"/>
  <c r="C15" i="4"/>
  <c r="C14" i="4"/>
  <c r="C13" i="4"/>
  <c r="C12" i="4"/>
  <c r="C11" i="4"/>
  <c r="C10" i="4"/>
  <c r="C9" i="4"/>
  <c r="C8" i="4"/>
  <c r="C7" i="4"/>
  <c r="C5" i="4"/>
  <c r="C6" i="4"/>
  <c r="C4" i="4"/>
  <c r="C54" i="3"/>
  <c r="C55" i="3"/>
  <c r="C48" i="3"/>
  <c r="C49" i="3"/>
  <c r="C50" i="3"/>
  <c r="C51" i="3"/>
  <c r="C52" i="3"/>
  <c r="C53" i="3"/>
  <c r="C44" i="3"/>
  <c r="C45" i="3"/>
  <c r="C46" i="3"/>
  <c r="C47" i="3"/>
  <c r="C20" i="3"/>
  <c r="C21" i="3"/>
  <c r="C22" i="3"/>
  <c r="C23" i="3"/>
  <c r="C24" i="3"/>
  <c r="C25" i="3"/>
  <c r="C26" i="3"/>
  <c r="C27" i="3"/>
  <c r="C28" i="3"/>
  <c r="C29" i="3"/>
  <c r="C40" i="3"/>
  <c r="C41" i="3"/>
  <c r="C42" i="3"/>
  <c r="C43" i="3"/>
  <c r="C19" i="3"/>
  <c r="C7" i="3"/>
  <c r="C6" i="3"/>
  <c r="C5" i="3"/>
  <c r="D83" i="2"/>
  <c r="D82" i="2"/>
  <c r="D81" i="2"/>
  <c r="D80" i="2"/>
  <c r="D76" i="2"/>
  <c r="D75" i="2"/>
  <c r="D74" i="2"/>
  <c r="D78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0" i="2"/>
  <c r="D29" i="2"/>
  <c r="D28" i="2"/>
  <c r="D26" i="2"/>
  <c r="D25" i="2"/>
  <c r="D24" i="2"/>
  <c r="D23" i="2"/>
  <c r="D14" i="2"/>
  <c r="D13" i="2"/>
  <c r="D12" i="2"/>
  <c r="D11" i="2"/>
  <c r="D10" i="2"/>
  <c r="D9" i="2"/>
  <c r="D8" i="2"/>
  <c r="D7" i="2"/>
  <c r="D6" i="2"/>
  <c r="D5" i="2"/>
  <c r="D4" i="2"/>
  <c r="I74" i="2" l="1"/>
  <c r="J74" i="2" s="1"/>
  <c r="I23" i="2"/>
  <c r="J23" i="2" s="1"/>
  <c r="I20" i="2"/>
  <c r="J20" i="2" s="1"/>
  <c r="I21" i="2"/>
  <c r="J21" i="2" s="1"/>
  <c r="D53" i="5"/>
  <c r="I53" i="5"/>
  <c r="J53" i="5" s="1"/>
  <c r="D65" i="5"/>
  <c r="I57" i="5"/>
  <c r="J57" i="5" s="1"/>
  <c r="D58" i="5"/>
  <c r="I56" i="5"/>
  <c r="J56" i="5" s="1"/>
  <c r="D66" i="5"/>
  <c r="I58" i="5"/>
  <c r="J58" i="5" s="1"/>
  <c r="D67" i="5"/>
  <c r="I59" i="5"/>
  <c r="J59" i="5" s="1"/>
  <c r="D61" i="5"/>
  <c r="I60" i="5"/>
  <c r="J60" i="5" s="1"/>
  <c r="D54" i="5"/>
  <c r="I54" i="5"/>
  <c r="J54" i="5" s="1"/>
  <c r="D30" i="5"/>
  <c r="I30" i="5"/>
  <c r="J30" i="5" s="1"/>
  <c r="D40" i="5"/>
  <c r="I34" i="5"/>
  <c r="J34" i="5" s="1"/>
  <c r="D29" i="5"/>
  <c r="I29" i="5"/>
  <c r="J29" i="5" s="1"/>
  <c r="D33" i="5"/>
  <c r="I36" i="5"/>
  <c r="J36" i="5" s="1"/>
  <c r="D41" i="5"/>
  <c r="I35" i="5"/>
  <c r="J35" i="5" s="1"/>
  <c r="D34" i="5"/>
  <c r="I32" i="5"/>
  <c r="J32" i="5" s="1"/>
  <c r="D27" i="5"/>
  <c r="I27" i="5"/>
  <c r="J27" i="5" s="1"/>
  <c r="D43" i="5"/>
  <c r="I31" i="5"/>
  <c r="J31" i="5" s="1"/>
  <c r="D28" i="5"/>
  <c r="I28" i="5"/>
  <c r="J28" i="5" s="1"/>
  <c r="D36" i="5"/>
  <c r="I33" i="5"/>
  <c r="J33" i="5" s="1"/>
  <c r="D11" i="5"/>
  <c r="I8" i="5"/>
  <c r="J8" i="5" s="1"/>
  <c r="D19" i="5"/>
  <c r="I9" i="5"/>
  <c r="J9" i="5" s="1"/>
  <c r="D21" i="5"/>
  <c r="I10" i="5"/>
  <c r="J10" i="5" s="1"/>
  <c r="D7" i="5"/>
  <c r="I6" i="5"/>
  <c r="J6" i="5" s="1"/>
  <c r="D9" i="5"/>
  <c r="I7" i="5"/>
  <c r="J7" i="5" s="1"/>
  <c r="I4" i="5"/>
  <c r="J4" i="5" s="1"/>
  <c r="C4" i="3"/>
  <c r="B8" i="3"/>
  <c r="C8" i="3" s="1"/>
  <c r="D79" i="2"/>
  <c r="D72" i="2"/>
  <c r="I72" i="2"/>
  <c r="J72" i="2" s="1"/>
  <c r="D73" i="2"/>
  <c r="I73" i="2"/>
  <c r="J73" i="2" s="1"/>
  <c r="D84" i="2"/>
  <c r="I75" i="2"/>
  <c r="J75" i="2" s="1"/>
  <c r="D27" i="2"/>
  <c r="D20" i="2"/>
  <c r="D21" i="2"/>
  <c r="D22" i="2"/>
  <c r="I22" i="2"/>
  <c r="J22" i="2" s="1"/>
  <c r="D31" i="2"/>
  <c r="I4" i="2"/>
  <c r="J4" i="2" s="1"/>
  <c r="I5" i="2"/>
  <c r="J5" i="2" s="1"/>
  <c r="I6" i="2"/>
  <c r="J6" i="2" s="1"/>
  <c r="I8" i="2"/>
  <c r="J8" i="2" s="1"/>
  <c r="I7" i="2"/>
  <c r="J7" i="2" s="1"/>
</calcChain>
</file>

<file path=xl/sharedStrings.xml><?xml version="1.0" encoding="utf-8"?>
<sst xmlns="http://schemas.openxmlformats.org/spreadsheetml/2006/main" count="6192" uniqueCount="704">
  <si>
    <t>Year</t>
  </si>
  <si>
    <t>Title</t>
  </si>
  <si>
    <t>Type</t>
  </si>
  <si>
    <t>Publisher</t>
  </si>
  <si>
    <t>IEEE</t>
  </si>
  <si>
    <t>Journal</t>
  </si>
  <si>
    <t>Conference</t>
  </si>
  <si>
    <t>Workshop</t>
  </si>
  <si>
    <t>ACM</t>
  </si>
  <si>
    <t>Science Direct</t>
  </si>
  <si>
    <t>Springer Link</t>
  </si>
  <si>
    <t>Published in</t>
  </si>
  <si>
    <t>SoSyM</t>
  </si>
  <si>
    <t>Yes</t>
  </si>
  <si>
    <t>Academic</t>
  </si>
  <si>
    <t>Scalability</t>
  </si>
  <si>
    <t>Formal methods</t>
  </si>
  <si>
    <t>Solving the ttc fixml case with funnyqt</t>
  </si>
  <si>
    <t>Case#</t>
  </si>
  <si>
    <t>The sdmlib solution to the moviedb case for ttc2014</t>
  </si>
  <si>
    <t>Fixml to java, c# and c++ transformations with qvtr-xslt</t>
  </si>
  <si>
    <t>Case study: Fixml to java, c# and c+</t>
  </si>
  <si>
    <t>Solving the fixml2code-case study with henshintgg</t>
  </si>
  <si>
    <t>The ttc 2014 fixml case: Rascal solution</t>
  </si>
  <si>
    <t>Mapping fixml to oo with aspectual code generators</t>
  </si>
  <si>
    <t>A model-driven solution for financial data representation expressed in fixml</t>
  </si>
  <si>
    <t>A solution to the fixml case study using triple graph grammars and emoflon</t>
  </si>
  <si>
    <t>Solving the ttc’14 fixml case study with sigma</t>
  </si>
  <si>
    <t>Solving the fixml case study using epsilon and java</t>
  </si>
  <si>
    <t>Solving the movie database case with qvto</t>
  </si>
  <si>
    <t>Movie database case: An emf-incquery solution</t>
  </si>
  <si>
    <t>The movie database case: Solutions using maude and the maude-based e-motions tool</t>
  </si>
  <si>
    <t>Solving the ttc 2014 movie database case with grgen. Net</t>
  </si>
  <si>
    <t>Atompm solution for the imdb case study</t>
  </si>
  <si>
    <t>Solving the ttc movie database case with funnyqt</t>
  </si>
  <si>
    <t>Solving the ttc 2014 movie database case with umlrsds</t>
  </si>
  <si>
    <t>The ttc 2014 movie database case: Rascal solution</t>
  </si>
  <si>
    <t>CEUR</t>
  </si>
  <si>
    <t>Synchronizing concurrent model updates based on bidirectional transformation</t>
  </si>
  <si>
    <t>Transformation tool soccer worldcup” (ttc 2014 live contest case)</t>
  </si>
  <si>
    <t>Reusable model transformations</t>
  </si>
  <si>
    <t>Translating between alloy specifications and uml class diagrams annotated with ocl</t>
  </si>
  <si>
    <t>Stakeholders Information</t>
  </si>
  <si>
    <t>How to find what was required</t>
  </si>
  <si>
    <t>Stakeholders</t>
  </si>
  <si>
    <t>Reaching stakeholders</t>
  </si>
  <si>
    <t>MT Requirements</t>
  </si>
  <si>
    <t>Type of transformation</t>
  </si>
  <si>
    <t>Size/scale</t>
  </si>
  <si>
    <t>Academic
or industry</t>
  </si>
  <si>
    <t>MT Project Information</t>
  </si>
  <si>
    <t>Methodology</t>
  </si>
  <si>
    <t>Diagrams</t>
  </si>
  <si>
    <t>RE technique/process</t>
  </si>
  <si>
    <t>Methodology Information</t>
  </si>
  <si>
    <t>Requirements expression, techniques, process</t>
  </si>
  <si>
    <t>Requirements achievement</t>
  </si>
  <si>
    <t>Stakeholder satisfaction</t>
  </si>
  <si>
    <t>SLR case outcomes</t>
  </si>
  <si>
    <t>Model transformations for migrating legacy deployment models in the automotive industry</t>
  </si>
  <si>
    <t>A modular timed graph transformation language for simulation-based design</t>
  </si>
  <si>
    <t>An agile driven architecture modernization to a model-driven development solution</t>
  </si>
  <si>
    <t>Journal on Advances in Software</t>
  </si>
  <si>
    <t>Model migration case for ttc 2010</t>
  </si>
  <si>
    <t>TTC@ STAF</t>
  </si>
  <si>
    <t>Environment modeling and simulation for automated testing of soft real-time embedded software</t>
  </si>
  <si>
    <t>The petri-nets to statecharts transformation case</t>
  </si>
  <si>
    <t>arXiv</t>
  </si>
  <si>
    <t>An nmf solution for the flowgraphs case study at the ttc 2013</t>
  </si>
  <si>
    <t>A solution to the flowgraphs case study using triple graph grammars and emoflon</t>
  </si>
  <si>
    <t>An nmf solution for the petri nets to state charts case study at the ttc 2013</t>
  </si>
  <si>
    <t>Solving the ttc 2013 flowgraphs case with funnyqt</t>
  </si>
  <si>
    <t>Analyzing flowgraphs with atl</t>
  </si>
  <si>
    <t>Class diagram restructuring with groove</t>
  </si>
  <si>
    <t>Case study: Class diagram restructuring</t>
  </si>
  <si>
    <t>Solving the class diagram restructuring transformation case with funnyqt</t>
  </si>
  <si>
    <t>Solving the flowgraphs case with eclectic</t>
  </si>
  <si>
    <t>Solving the petri-nets to statecharts transformation case with uml-rsds</t>
  </si>
  <si>
    <t>Solving the petri-nets to statecharts transformation case with funnyqt</t>
  </si>
  <si>
    <t>Pn2sc case study: An emf-incquery solution</t>
  </si>
  <si>
    <t>A solution to the java refactoring case study using emoflon</t>
  </si>
  <si>
    <t>A solution to the ttc’15 model execution case using the gemoc studio</t>
  </si>
  <si>
    <t>An nmf solution to the java refactoring case at the ttc 2015</t>
  </si>
  <si>
    <t>An nmf solution to the train benchmark case at the ttc 2015</t>
  </si>
  <si>
    <t>Solving the ttc’15 train benchmark case study with sigma</t>
  </si>
  <si>
    <t>Train benchmark case: an emf-incquery solution</t>
  </si>
  <si>
    <t>The sdmlib solution to the model execution case for ttc2015</t>
  </si>
  <si>
    <t>The sdmlib solution to the java refactoring case for ttc2015</t>
  </si>
  <si>
    <t>Solving the ttc train benchmark case with funnyqt</t>
  </si>
  <si>
    <t>Solving the ttc model execution case with funnyqt</t>
  </si>
  <si>
    <t>Solving the ttc java refactoring case with funnyqt</t>
  </si>
  <si>
    <t>fuml activity diagrams with rag-controlled rewriting: A racr solution of the ttc 2015 model execution case</t>
  </si>
  <si>
    <t>Java refactoring case: a viatra solution</t>
  </si>
  <si>
    <t>The atl/emftvm solution to the train benchmark case for ttc2015</t>
  </si>
  <si>
    <t>Refactoring java programs using spoon</t>
  </si>
  <si>
    <t>Case study: Bpmn to bpel model transformation</t>
  </si>
  <si>
    <t>GraBaTs@ ICGT</t>
  </si>
  <si>
    <t>Improving the application of agile model-based development: Experiences from case studies</t>
  </si>
  <si>
    <t>ICSEA</t>
  </si>
  <si>
    <t>Uml2alloy: A challenging model transformation</t>
  </si>
  <si>
    <t>MODELS</t>
  </si>
  <si>
    <t>A uml/ocl framework for the analysis of graph transformation rules</t>
  </si>
  <si>
    <t>Lifting transformational models of product lines: A case study</t>
  </si>
  <si>
    <t>ICMT</t>
  </si>
  <si>
    <t>Code generation by model transformation: a case study in transformation modularity</t>
  </si>
  <si>
    <t>Using model transformation to refactor use case models based on antipatterns</t>
  </si>
  <si>
    <t>Information Systems Frontiers</t>
  </si>
  <si>
    <t>Source transformation of c++ codes for compatibility with operator overloading</t>
  </si>
  <si>
    <t>ICCS</t>
  </si>
  <si>
    <t>Transformation from petri nets model to programmable logic controller using one-to-one mapping technique</t>
  </si>
  <si>
    <t>CIMCA-IAWTIC</t>
  </si>
  <si>
    <t>The algorithm of transformation from uml sequence diagrams to the topological functioning model</t>
  </si>
  <si>
    <t>ENASE</t>
  </si>
  <si>
    <t>Semantics of ocl specified with qvt</t>
  </si>
  <si>
    <t>Agile Model-Driven Engineering in Mechatronic Systems - An Industrial Case Study</t>
  </si>
  <si>
    <t>Refactoring ocl annotated uml class diagrams</t>
  </si>
  <si>
    <t>Refactoring object constraint language specifications</t>
  </si>
  <si>
    <t>Synthesis of test scenarios using uml activity diagrams</t>
  </si>
  <si>
    <t>Developing bp-driven web applications through the use of mde techniques</t>
  </si>
  <si>
    <t>Trajectory tracking by tp model transformation: case study of a benchmark problem</t>
  </si>
  <si>
    <t>IEEE Transactions on Industrial Electronics</t>
  </si>
  <si>
    <t>Towards rule-based detection of design patterns in model transformations.</t>
  </si>
  <si>
    <t>Streaming model transformations by complex event processing</t>
  </si>
  <si>
    <t>MDWE</t>
  </si>
  <si>
    <t>Model transformation for serviceoriented web applications development</t>
  </si>
  <si>
    <t>TSE</t>
  </si>
  <si>
    <t>A component model for model transformations</t>
  </si>
  <si>
    <t>Model transformations for round-trip engineering in control deployment co-design</t>
  </si>
  <si>
    <t>Symposium on Theory of Modeling &amp; Simulation</t>
  </si>
  <si>
    <t>IST</t>
  </si>
  <si>
    <t>Elsevier</t>
  </si>
  <si>
    <t>Applying mde to the (semi-) automatic development of model transformations</t>
  </si>
  <si>
    <t>Model migration with gretl</t>
  </si>
  <si>
    <t>Migrating activity diagrams with epsilon flock</t>
  </si>
  <si>
    <t>Model migration with mola</t>
  </si>
  <si>
    <t>Uml1. 4 to 2.1 activity diagram model migration with fujaba—a case study</t>
  </si>
  <si>
    <t>A grgen .net solution of the model migration case for the transformation tool contest 2010</t>
  </si>
  <si>
    <t>Migrating uml activity models with cope</t>
  </si>
  <si>
    <t>Uml model migration with pete</t>
  </si>
  <si>
    <t>Abstract and concrete syntax migration of instance models</t>
  </si>
  <si>
    <t>Solving the topology analysis case study with groove</t>
  </si>
  <si>
    <t>Abstract topology analysis of the join phase of the merge protocol</t>
  </si>
  <si>
    <t>Topology analysis of car platoons merge with fujabart &amp; timedstorycharts-a case study</t>
  </si>
  <si>
    <t>Modeling the “ecore to genmodel” transformation with emf henshin</t>
  </si>
  <si>
    <t>Ecore2genmodel with mitra and gef3d</t>
  </si>
  <si>
    <t>Ecore to genmodel case study solution using the viatra2 framework</t>
  </si>
  <si>
    <t>A graph transformation-based approach for applying mda to soa</t>
  </si>
  <si>
    <t>International Conference on Frontier of Computer Science and Technology</t>
  </si>
  <si>
    <t>A metamodeling approach to transform uml 2.0 sequence diagrams to petri nets</t>
  </si>
  <si>
    <t>Proceedings of the IASTED International
Conference on Software Engineering</t>
  </si>
  <si>
    <t>A model driven engineering design approach for developing multi-platform user interfaces</t>
  </si>
  <si>
    <t>WSEAS Transactions on Computers</t>
  </si>
  <si>
    <t>a model driven software engineering approach for hmis in process industries</t>
  </si>
  <si>
    <t>A semi-automatic approach for bridging dsmls with uml</t>
  </si>
  <si>
    <t>International Journal
of Web Information Systems</t>
  </si>
  <si>
    <t>Computer Science and Automation Engineering (CSAE)</t>
  </si>
  <si>
    <t>Automated middleware qos configuration techniques using model transformations</t>
  </si>
  <si>
    <t>EDOC Workshop</t>
  </si>
  <si>
    <t>Automatic prototyping in model-driven game development</t>
  </si>
  <si>
    <t>Computers in Entertainment</t>
  </si>
  <si>
    <t>Bridging webml to model-driven engineering: from document type definitions to meta object facility</t>
  </si>
  <si>
    <t>IET software</t>
  </si>
  <si>
    <t>Customisable model transformations based on non-functional requirements</t>
  </si>
  <si>
    <t>IEEE Congress on Services-Part I</t>
  </si>
  <si>
    <t>Deriving multi-agent system behavior</t>
  </si>
  <si>
    <t>International Journal of Software Engineering and Its Applications</t>
  </si>
  <si>
    <t>Execution of natural language requirements using state machines synthesised from behavior trees</t>
  </si>
  <si>
    <t>Journal of Systems and Software</t>
  </si>
  <si>
    <t>Formalising model transformation rules for uml/mof 2.</t>
  </si>
  <si>
    <t>aadl to timed abstract state machines: A verified model transformation</t>
  </si>
  <si>
    <t>From uml to ansi-c-an eclipse-based code generation framework</t>
  </si>
  <si>
    <t>Proceedings of 3rd International Conference on Software and Data Technologies</t>
  </si>
  <si>
    <t>From real computational independent models to information system models: An mde approach</t>
  </si>
  <si>
    <t>Workshop on Model-Driven Web Engineering</t>
  </si>
  <si>
    <t>Generating user interfaces from conceptual models: A model-transformation based approach</t>
  </si>
  <si>
    <t>Computer-Aided Design of User Interfaces</t>
  </si>
  <si>
    <t>Increasing quality in scenario modelling with model-driven development</t>
  </si>
  <si>
    <t>Quality of Information and Communications Technology</t>
  </si>
  <si>
    <t>Model transformations to bridge concrete and abstract syntax of web rule languages</t>
  </si>
  <si>
    <t>Computer Science and Information Systems</t>
  </si>
  <si>
    <t>Harvesting models from web 2.0 databases</t>
  </si>
  <si>
    <t>Model-driven software migration into service-oriented architectures</t>
  </si>
  <si>
    <t>Computer Science-Research and Development</t>
  </si>
  <si>
    <t>Model-driven transformations: From analysis to mvc 2 web model</t>
  </si>
  <si>
    <t>International Review on Computers and Software</t>
  </si>
  <si>
    <t>Modgraph-a transformation engine for emf model transformations</t>
  </si>
  <si>
    <t>ICSOFT</t>
  </si>
  <si>
    <t>Modular jade agents design and implementation using aseme</t>
  </si>
  <si>
    <t>Web Intelligence and Intelligent Agent Technology</t>
  </si>
  <si>
    <t>On using inplace transformations for model co-evolution</t>
  </si>
  <si>
    <t>Workshop Model Transformation with ATL</t>
  </si>
  <si>
    <t>Qvt based model transformation from sequence diagram to csp</t>
  </si>
  <si>
    <t>ICECCS</t>
  </si>
  <si>
    <t>Rule-based model transformation for, and in simulink</t>
  </si>
  <si>
    <t>Proceedings of the Symposium on Theory of Modeling &amp; Simulation</t>
  </si>
  <si>
    <t>Traceability-based incremental model synchronization</t>
  </si>
  <si>
    <t>Transformation of aspect-oriented requirements specifications for reactive systems into aspect-oriented design specifications</t>
  </si>
  <si>
    <t>Model-Driven Requirements Engineering Workshop (MoDRE)</t>
  </si>
  <si>
    <t>Transforming an enterprise model into a use case model in business process systems</t>
  </si>
  <si>
    <t>Transforming an enterprise model into a use case model using existing heuristics</t>
  </si>
  <si>
    <t>Model-Driven Requirements
Engineering Workshop (MoDRE)</t>
  </si>
  <si>
    <t>Using atl to support modeldriven development of rubytl model transformations</t>
  </si>
  <si>
    <t>International workshop on model
transformation with ATL</t>
  </si>
  <si>
    <t>Using meta-code generation to realize higher-order model transformations</t>
  </si>
  <si>
    <t>Verification of dsmls using graph transformation: a case study with allo</t>
  </si>
  <si>
    <t>International Workshop on Model-Driven Engineering, Verification and Validation</t>
  </si>
  <si>
    <t>Generation of component based architecture from business processes: model driven engineering for soa</t>
  </si>
  <si>
    <t>Web Services (ECOWS)</t>
  </si>
  <si>
    <t>Executing a standard compliant transformation model on a non-standard platform</t>
  </si>
  <si>
    <t>Co-design of the business and software architectures: A systems engineering and model-driven method</t>
  </si>
  <si>
    <t>Software Engineering Artificial Intelligence Networking and Parallel/
Distributed Computing</t>
  </si>
  <si>
    <t>Model-driven approach to agilla agent generation</t>
  </si>
  <si>
    <t>International Wireless Communications and Mobile Computing Conference</t>
  </si>
  <si>
    <t>Automating test cases generation: From xtuml system models to qml test models</t>
  </si>
  <si>
    <t>Workshop on Model-Based Methodologies for Pervasive and Embedded Software</t>
  </si>
  <si>
    <t>Model based software design: Tool support for scripting in immersive environments</t>
  </si>
  <si>
    <t>Conference on Industrial and Information Systems</t>
  </si>
  <si>
    <t>Using meta-model transformation to model software evolution</t>
  </si>
  <si>
    <t>Electronic Notes in Theoretical Computer Science</t>
  </si>
  <si>
    <t>Constraint-based model refactoring</t>
  </si>
  <si>
    <t>International Conference on Model
Driven Engineering Languages and Systems</t>
  </si>
  <si>
    <t>Operational semantics of uml activity diagram: An application in project management</t>
  </si>
  <si>
    <t>Domain-specific model transformation in building quantity take-off</t>
  </si>
  <si>
    <t>Instant and incremental qvt transformation for runtime models</t>
  </si>
  <si>
    <t>Model Driven Engineering Languages and Systems</t>
  </si>
  <si>
    <t>From uml and ocl to relational logic and back</t>
  </si>
  <si>
    <t>Tackling high variability in video surveillance systems through a model transformation approach</t>
  </si>
  <si>
    <t>ICSE Workshop on Modeling in Software Engineering</t>
  </si>
  <si>
    <t>Model-to-metamodel transformation for the development of component-based systems</t>
  </si>
  <si>
    <t>An adjustable transformation from owl to ecore</t>
  </si>
  <si>
    <t>A metamodel-based approach for automatic user interface generation</t>
  </si>
  <si>
    <t>Domain-specific discrete event modelling and simulation using graph transformation</t>
  </si>
  <si>
    <t>Adapting transformations to metamodel changes via external transformation composition</t>
  </si>
  <si>
    <t>Extracting models from source code in software modernization</t>
  </si>
  <si>
    <t>Verifying workflow processes: a transformation-based approach</t>
  </si>
  <si>
    <t>On challenges of model transformation from uml to alloy</t>
  </si>
  <si>
    <t>Transformation of uml and ocl models into filmstrip models</t>
  </si>
  <si>
    <t>Conference on Theory and Practice of Model Transformations</t>
  </si>
  <si>
    <t>Triple graph grammars in the large for translating satellite procedures</t>
  </si>
  <si>
    <t>Domain-specific optimization in digital forensics</t>
  </si>
  <si>
    <t>Translational semantics of a co-evolution specific language with the emf transformation virtual machine</t>
  </si>
  <si>
    <t>Bidirectional transformation of model-driven spreadsheets</t>
  </si>
  <si>
    <t>Programmed graph rewriting with time for simulation based design</t>
  </si>
  <si>
    <t>Implementing business process recovery patterns through qvt transformations</t>
  </si>
  <si>
    <t>From sequence diagrams to state machines by graph transformation</t>
  </si>
  <si>
    <t>Transforming process algebra models into uml state machines: Bridging a semantic gap?</t>
  </si>
  <si>
    <t>From spreadsheets to relational databases and back</t>
  </si>
  <si>
    <t>workshop on Partial evaluation and program manipulation</t>
  </si>
  <si>
    <t>Transformation as search</t>
  </si>
  <si>
    <t>European Conference on Modelling Foundations and Applications</t>
  </si>
  <si>
    <t>Bridging the gap between requirements and aspect state machines to support non-functional testing: industrial case studies</t>
  </si>
  <si>
    <t>Normalizing heterogeneous service description models with generated qvt transformations</t>
  </si>
  <si>
    <t>Problem description, 
Prototype and examples</t>
  </si>
  <si>
    <t>Research</t>
  </si>
  <si>
    <t>Document mining</t>
  </si>
  <si>
    <t>Brainstorming,
customer as developer</t>
  </si>
  <si>
    <t>Problem statement</t>
  </si>
  <si>
    <t>General problem description</t>
  </si>
  <si>
    <t>Communication with domain experts</t>
  </si>
  <si>
    <t>Business modelling</t>
  </si>
  <si>
    <t>Research, 
business analysis</t>
  </si>
  <si>
    <t>Industry collaboration</t>
  </si>
  <si>
    <t>Financial companies, 
case study proposers</t>
  </si>
  <si>
    <t>Forum, email</t>
  </si>
  <si>
    <t>Users requiring
analysis of data</t>
  </si>
  <si>
    <t>ArchStudio users</t>
  </si>
  <si>
    <t>MDE practitioners</t>
  </si>
  <si>
    <t>Software modellers/developers</t>
  </si>
  <si>
    <t>None</t>
  </si>
  <si>
    <t>Automotive system (VCS)
developers; General Motors</t>
  </si>
  <si>
    <t>End users of FrontArena software;
FrontArena software teams;
SunGard management</t>
  </si>
  <si>
    <t>Software developers (users of
migrated models)</t>
  </si>
  <si>
    <t>RTES developers, testers;
companies with RTES products</t>
  </si>
  <si>
    <t>Business process modeling
users</t>
  </si>
  <si>
    <t>Risk analysts</t>
  </si>
  <si>
    <t>Alloy Analyzer users</t>
  </si>
  <si>
    <t>Graph transformations users</t>
  </si>
  <si>
    <t>Graphics and JavaScript
applications users</t>
  </si>
  <si>
    <t>Use case model users</t>
  </si>
  <si>
    <t>C++ users (legacy code)</t>
  </si>
  <si>
    <t>Manufacturing system designers</t>
  </si>
  <si>
    <t>System migration engineers</t>
  </si>
  <si>
    <t>OCL users</t>
  </si>
  <si>
    <t>Volvo Cars Group</t>
  </si>
  <si>
    <t>Web application developers</t>
  </si>
  <si>
    <t>Control engineers</t>
  </si>
  <si>
    <t>MT developers</t>
  </si>
  <si>
    <t>Game application developers</t>
  </si>
  <si>
    <t>Process control practitioners</t>
  </si>
  <si>
    <t>Discussions with experts</t>
  </si>
  <si>
    <t>MDE practitioners;
web application developers</t>
  </si>
  <si>
    <t>critical systems developers 
MDE practitioners</t>
  </si>
  <si>
    <t>Users exchanging web rules</t>
  </si>
  <si>
    <t>Re-engineering projects</t>
  </si>
  <si>
    <t>Via consortium with industrial users</t>
  </si>
  <si>
    <t>Embedded sys. Developers</t>
  </si>
  <si>
    <t>Experiments with practitioners</t>
  </si>
  <si>
    <t>WSN developers</t>
  </si>
  <si>
    <t>Software developers</t>
  </si>
  <si>
    <t>Activity diagram modellers</t>
  </si>
  <si>
    <t>Quantity surveyors</t>
  </si>
  <si>
    <t>Surveillence sys. Developers</t>
  </si>
  <si>
    <t>Collaboration with practitioners</t>
  </si>
  <si>
    <t>UI developers</t>
  </si>
  <si>
    <t>DES analysts</t>
  </si>
  <si>
    <t>Businesses requiring software modernisation</t>
  </si>
  <si>
    <t>Workflow analysts</t>
  </si>
  <si>
    <t>Satellite operators</t>
  </si>
  <si>
    <t>Industrial collaboration</t>
  </si>
  <si>
    <t>Digital forensics experts</t>
  </si>
  <si>
    <t>User collaboration</t>
  </si>
  <si>
    <t>Consultation</t>
  </si>
  <si>
    <t>SOA developers</t>
  </si>
  <si>
    <t>Local mapping requirements</t>
  </si>
  <si>
    <t>Local refactoring requirements</t>
  </si>
  <si>
    <t>Local Functional</t>
  </si>
  <si>
    <t>Local reactive requirements</t>
  </si>
  <si>
    <t>Local correspondence requirements</t>
  </si>
  <si>
    <t>Syntactic correctness</t>
  </si>
  <si>
    <t>Completeness</t>
  </si>
  <si>
    <t>Semantic Correctness</t>
  </si>
  <si>
    <t>Semantic Preservation</t>
  </si>
  <si>
    <t>Confluence</t>
  </si>
  <si>
    <t>Bidirectionality</t>
  </si>
  <si>
    <t>Model synchronisation/ Change-propagation</t>
  </si>
  <si>
    <t>Traceability</t>
  </si>
  <si>
    <t>Invariance</t>
  </si>
  <si>
    <t>Accuracy</t>
  </si>
  <si>
    <t>Structural preservation</t>
  </si>
  <si>
    <t>Global Functional</t>
  </si>
  <si>
    <t>Efficiency</t>
  </si>
  <si>
    <t>Fault tolerance</t>
  </si>
  <si>
    <t>Simplicity/Clarity</t>
  </si>
  <si>
    <t>Modularity</t>
  </si>
  <si>
    <t>Size/
Conciseness</t>
  </si>
  <si>
    <t>Timing</t>
  </si>
  <si>
    <t>(Process) Responsiveness</t>
  </si>
  <si>
    <t>Reduced development effort</t>
  </si>
  <si>
    <t>Architectural quality</t>
  </si>
  <si>
    <t>Flexibility</t>
  </si>
  <si>
    <t>Portability</t>
  </si>
  <si>
    <t>Usability</t>
  </si>
  <si>
    <t>Conformance to standards</t>
  </si>
  <si>
    <t>Alignment to business view</t>
  </si>
  <si>
    <t>Genericity</t>
  </si>
  <si>
    <t>Non-Functional</t>
  </si>
  <si>
    <t>Yse</t>
  </si>
  <si>
    <t>Text-to-model,
migration,
code generation</t>
  </si>
  <si>
    <t>Refinement, data analysis</t>
  </si>
  <si>
    <t>Bidirectional</t>
  </si>
  <si>
    <t>Refactoring</t>
  </si>
  <si>
    <t>Migration</t>
  </si>
  <si>
    <t>Reactive</t>
  </si>
  <si>
    <t>Refinement, migration</t>
  </si>
  <si>
    <t>Refinement,
code generation</t>
  </si>
  <si>
    <t>Refinement</t>
  </si>
  <si>
    <t>Text/code-to-model</t>
  </si>
  <si>
    <t>Java refactoring</t>
  </si>
  <si>
    <t>Model execution</t>
  </si>
  <si>
    <t>Code generation</t>
  </si>
  <si>
    <t>Semantic mapping</t>
  </si>
  <si>
    <t>Migration/refinement</t>
  </si>
  <si>
    <t>Code-to-code</t>
  </si>
  <si>
    <t>Abstraction</t>
  </si>
  <si>
    <t>Refinement, 
code generation</t>
  </si>
  <si>
    <t>Migration, refactoring</t>
  </si>
  <si>
    <t>Reverse engineering</t>
  </si>
  <si>
    <t>Refinement, refactoring</t>
  </si>
  <si>
    <t>Small</t>
  </si>
  <si>
    <t>Medium</t>
  </si>
  <si>
    <t>Large</t>
  </si>
  <si>
    <t>Green</t>
  </si>
  <si>
    <t>Green/
brown field</t>
  </si>
  <si>
    <t>Brown</t>
  </si>
  <si>
    <t>Industry</t>
  </si>
  <si>
    <t>UML class diagram</t>
  </si>
  <si>
    <t>UML,
class diagram</t>
  </si>
  <si>
    <t>Exploratory prototyping
and scenario analysis</t>
  </si>
  <si>
    <t>MDE for MT</t>
  </si>
  <si>
    <t>None identified. Some concrete grammar diagrams used to express synchronisation rules</t>
  </si>
  <si>
    <t>Incremental development,
evolutionary prototyping</t>
  </si>
  <si>
    <t>Experimental prototyping and
scenario-based analysis.
Concrete grammar diagrams</t>
  </si>
  <si>
    <t>Not explicit; scenario-based
experimental prototyping</t>
  </si>
  <si>
    <t>Incremental, iterative</t>
  </si>
  <si>
    <t>Structured interviews,
scenarios,
Detailed RE process.</t>
  </si>
  <si>
    <t>Incremental,
experimentation</t>
  </si>
  <si>
    <t>Concrete grammar rules and scenario
analysis are used for RE</t>
  </si>
  <si>
    <t>Agile MDE</t>
  </si>
  <si>
    <t>Survey of developers; reverse
engineering of legacy code</t>
  </si>
  <si>
    <t>MDE</t>
  </si>
  <si>
    <t>Scenario analysis,
exploratory prototyping,
Observation, interviews
Concrete grammar used to
express mapping examples</t>
  </si>
  <si>
    <t>Design patterns,
verification through
testing and inspection</t>
  </si>
  <si>
    <t>Observation (implicit); individual
expert knowledge; literature analysis.</t>
  </si>
  <si>
    <t>Incremental prototyping</t>
  </si>
  <si>
    <t>UML,
class diagram,
state machines</t>
  </si>
  <si>
    <t>Scenario analysis, experimental
prototyping. Rules expressed using concrete grammar</t>
  </si>
  <si>
    <t>Incremental,
iterative</t>
  </si>
  <si>
    <t>Scenario analysis,
informal mappings</t>
  </si>
  <si>
    <t>Survey and questionnaire,
Prioritization,
Empirical studies with
representative users and tasks</t>
  </si>
  <si>
    <t>Prioritization</t>
  </si>
  <si>
    <t>Scenario analysis</t>
  </si>
  <si>
    <t>Validation scenarios</t>
  </si>
  <si>
    <t>Object diagrams</t>
  </si>
  <si>
    <t>UML class diagrams, OCL</t>
  </si>
  <si>
    <t>MDA for MT</t>
  </si>
  <si>
    <t>UML class diagrams</t>
  </si>
  <si>
    <t>Feature diagrams</t>
  </si>
  <si>
    <t>Use case-driven
approach</t>
  </si>
  <si>
    <t>Simulink models</t>
  </si>
  <si>
    <t>prototyping</t>
  </si>
  <si>
    <t>UML activity diagrams</t>
  </si>
  <si>
    <t>BPMN diagrams</t>
  </si>
  <si>
    <t>Specialised</t>
  </si>
  <si>
    <t>Control block diagrams</t>
  </si>
  <si>
    <t>UML class, activity diagrams</t>
  </si>
  <si>
    <t>Graph diagrams</t>
  </si>
  <si>
    <t>UML class,
statemachine diagrams</t>
  </si>
  <si>
    <t>Customised</t>
  </si>
  <si>
    <t>Informal specifications</t>
  </si>
  <si>
    <t>Prototyping</t>
  </si>
  <si>
    <t>UI task models, statecharts</t>
  </si>
  <si>
    <t>Process models</t>
  </si>
  <si>
    <t>UML class diagrams, architecture diagrams</t>
  </si>
  <si>
    <t>Derive MTs from logical specifications</t>
  </si>
  <si>
    <t>Architecture diagrams</t>
  </si>
  <si>
    <t>UML class, statemachine diagrams</t>
  </si>
  <si>
    <t>Informal mappings</t>
  </si>
  <si>
    <t>MDA</t>
  </si>
  <si>
    <t>Object diagrams/graphs</t>
  </si>
  <si>
    <t>UML activity, sequence diagrams</t>
  </si>
  <si>
    <t>MT embedded in re-engineering process</t>
  </si>
  <si>
    <t>Domain analysis</t>
  </si>
  <si>
    <t>UML class diagrams, concrete grammar</t>
  </si>
  <si>
    <t>Formal specifications</t>
  </si>
  <si>
    <t>Concrete grammar rule specifications</t>
  </si>
  <si>
    <t>Specification by example</t>
  </si>
  <si>
    <t>Semi-formal rule specifications,
experimental evaluation</t>
  </si>
  <si>
    <t>Scenarios, formal rule
specifications;
partial RE process</t>
  </si>
  <si>
    <t>UML class diagrams, sequence diagrams</t>
  </si>
  <si>
    <t>UML class diagrams, feature models</t>
  </si>
  <si>
    <t>Stakeholder participation</t>
  </si>
  <si>
    <t>Stakeholder identification, stakeholder collaboration</t>
  </si>
  <si>
    <t>UML class diagrams, use case diagrams</t>
  </si>
  <si>
    <t>Validation using industrial cases</t>
  </si>
  <si>
    <t>Concrete syntax diagrams, UML class diagrams</t>
  </si>
  <si>
    <t>Concrete syntax mapping rules</t>
  </si>
  <si>
    <t>Concrete syntax diagrams</t>
  </si>
  <si>
    <t>Phased</t>
  </si>
  <si>
    <t>Graphical mapping
specifications</t>
  </si>
  <si>
    <t>Concrete grammar diagrams</t>
  </si>
  <si>
    <t>UML class diagrams, Concrete syntax diagrams</t>
  </si>
  <si>
    <t>Controlled experiments</t>
  </si>
  <si>
    <t>UML use case, statechart diagrams</t>
  </si>
  <si>
    <t>Expert validation, goal decomposition, textual specifications</t>
  </si>
  <si>
    <t>high</t>
  </si>
  <si>
    <t>low</t>
  </si>
  <si>
    <t>unknown</t>
  </si>
  <si>
    <t>med</t>
  </si>
  <si>
    <t>Solving the Class Responsibility Assignment Case with UML-RSDS</t>
  </si>
  <si>
    <t>An NMF solution to the Class Responsibility Assignment Case</t>
  </si>
  <si>
    <t>Solving the Class Responsibility Assignment using Java and ATL</t>
  </si>
  <si>
    <t>A heuristic approach for resolving the Responsibility Assignment Problem</t>
  </si>
  <si>
    <t>The SDMLib solution to the Class Responsibility Assignment Case for TTC2016</t>
  </si>
  <si>
    <t>Model Optimisation for Feature_x0015_Class allocation using MDEOptimiser: A TTC 2016 Submission</t>
  </si>
  <si>
    <t>Class Responsiblity Assignment Case: a Viatra-DSE Solution</t>
  </si>
  <si>
    <t>Solving the Class Responsibility Assignment Case with Henshin and a Genetic Algorithm</t>
  </si>
  <si>
    <t>Solving the TTC’16 Class Responsibility Assignment Case Study with SIGMA and Multi-Objective Genetic Algorithms</t>
  </si>
  <si>
    <t>An NMF solution to the TTC 2019 Truth Tables to Binary Decision Diagrams Case</t>
  </si>
  <si>
    <t>The Fulib Solution to the TTC 2019 Truth Tables to Binary Decision Diagram Case</t>
  </si>
  <si>
    <t>YAMTL Solution to the TTC 2019 TT2BDD Case</t>
  </si>
  <si>
    <t>Transforming Truth Tables to Binary Decision Diagrams using Relational Reference Attribute Grammars</t>
  </si>
  <si>
    <t>An NMF solution to the Smart Grid Case at the TTC 2017</t>
  </si>
  <si>
    <t>Applying formal reasoning to model transformation: The Meeduse solution</t>
  </si>
  <si>
    <t>An NMF solution to the Families to Persons case at the TTC 2017</t>
  </si>
  <si>
    <t>An NMF solution to the TTC 2018 Social Media Case</t>
  </si>
  <si>
    <t>Transforming Truth Tables to Binary Decision Diagrams using the Role-based Synchronization Approach</t>
  </si>
  <si>
    <t>An NMF solution to the State Elimination case at the TTC 2017</t>
  </si>
  <si>
    <t>Hawk solutions to the TTC 2018 Social Media Case</t>
  </si>
  <si>
    <t>Truth Tables to Binary Decision Diagrams in Modern ATL</t>
  </si>
  <si>
    <t>A JastAdd-based Solution to the TTC 2018 Social Media Case</t>
  </si>
  <si>
    <t>The SDMLib Solution to the TTC 2017 Families 2 Persons Case</t>
  </si>
  <si>
    <t>YAMTL Solution to the TTC 2018 Social Media Case</t>
  </si>
  <si>
    <t>An NMF solution to the TTC 2019 Live Case</t>
  </si>
  <si>
    <t>Transformation of Finite State Automata to Regular Expressions using Henshin</t>
  </si>
  <si>
    <t>The TTC 2018 Social Media Case, by ATL and AOF</t>
  </si>
  <si>
    <t>The SDMLib Solution to the TTC 2017 State Elimination Case</t>
  </si>
  <si>
    <t>YAMTL Solution to the TTC 2019 BibtextToDocBook Case</t>
  </si>
  <si>
    <t>Solving the State Elimination Case Study using Epsilon</t>
  </si>
  <si>
    <t>Solving the TTC Families to Persons Case with FunnyQT</t>
  </si>
  <si>
    <t>Solving the Families to Persons Case using EVL+Strace</t>
  </si>
  <si>
    <t>Detecting and Preventing Power Outages in a Smart Grid using eMoflon</t>
  </si>
  <si>
    <t>The EMFeR Solution to the TTC 2018 Software Mapping Case</t>
  </si>
  <si>
    <t>Solving the Quality-based Software-Selection and Hardware-Mapping Problem with ACO</t>
  </si>
  <si>
    <t>A JastAdd- and ILP-based Solution to the Software-Selection and Hardware-Mapping-Problem at the TTC 2018</t>
  </si>
  <si>
    <t>Supporting Round-Trip Data Migration for Web APIs with Henshin</t>
  </si>
  <si>
    <t>The Fulib Solution to the TTC 2020 Migration Case</t>
  </si>
  <si>
    <t>An NMF solution to the TTC 2020 Roundtrip Engineering Case</t>
  </si>
  <si>
    <t>EMFSyncer Solution to the TTC 2020 Round-trip Migration Case</t>
  </si>
  <si>
    <t>An NMF Solution to the TTC2021 Incremental Recompilation of LaboratoryWorkflows Case</t>
  </si>
  <si>
    <t>An NMF Solution to the TTC 2021 OCL to SQL Case</t>
  </si>
  <si>
    <t>The Fulib Solution to the TTC 2021 Laboratory Workflow Case</t>
  </si>
  <si>
    <t>The Epsilon Solution to the OCL2PSQL Case</t>
  </si>
  <si>
    <t>YAMTL solution for the TTC 2021 Laboratory Workflows case</t>
  </si>
  <si>
    <t>(Ab)using Incremental ATL on the TTC 2021 Incremental Laboratory Workflow Benchmark</t>
  </si>
  <si>
    <t>KMEHR to FHIR case solution with UML-RSDS</t>
  </si>
  <si>
    <t>A BXtendDSL Solution to the TTC2023 Asymmetric and Directed Bidirectional Transformation for Container Orchestrations Case</t>
  </si>
  <si>
    <t>Two NMF Solutions to the TTC2023 Incremental Class to Relational Case</t>
  </si>
  <si>
    <t>An NMF Solutions to the TTC2023 Containers to MiniYAML Case</t>
  </si>
  <si>
    <t>A BXtendDSL Solution to the TTC2023 Incremental MTL vs. GPLs Case</t>
  </si>
  <si>
    <t>The Epsilon Solution to the KMEHR to FHIR Case</t>
  </si>
  <si>
    <t>Incremental ATL Solution to the TTC 2023 KMEHR to FHIR Case</t>
  </si>
  <si>
    <t>Cheptre Solution to the TTC 2023 Incremental Class2Relational Case</t>
  </si>
  <si>
    <t>Asymmetric and directed bidirectional transformation for container orchestrations with YAMTL and EMF-Syncer</t>
  </si>
  <si>
    <t>Refactoring Architecture Models for Compliance with Custom Requirements</t>
  </si>
  <si>
    <t>Integration of Visual Contracts and Model Transformation for Enhanced MDE Development</t>
  </si>
  <si>
    <t>A Tool for Automatically Selecting Optimal Model Transformation Chains</t>
  </si>
  <si>
    <t>Model-driven Round-trip Software Dependability Engineering</t>
  </si>
  <si>
    <t>MoFuzz: A Fuzzer Suite for Testing Model-Driven Software Engineering Tools</t>
  </si>
  <si>
    <t>Automated Software Engineering (ASE)</t>
  </si>
  <si>
    <t>Supporting Robotic Software Migration Using Static Analysis and Model-Driven Engineering</t>
  </si>
  <si>
    <t>Interactive Metamodel/Model Co-Evolution Using Unsupervised Learning and Multi-Objective Search</t>
  </si>
  <si>
    <t>SAC</t>
  </si>
  <si>
    <t>Integrating Semantic Reasoning in Information Loss-based Transformation Chain Rankers</t>
  </si>
  <si>
    <t>T L: An abstract specification language for bidirectional transformations</t>
  </si>
  <si>
    <t>DevOpsML: Towards Modeling DevOps Processes and Platforms</t>
  </si>
  <si>
    <t>Enhancing model transformation synthesis using natural language processing</t>
  </si>
  <si>
    <t>Model Transformation Development Using Automated Requirements Analysis, Metamodel Matching, and Transformation by Example</t>
  </si>
  <si>
    <t>ACM Transactions on Software Engineering and Methodology</t>
  </si>
  <si>
    <t>Mod2Dash: A Framework for Model-Driven Dashboards Generation</t>
  </si>
  <si>
    <t>Human Computer Interaction</t>
  </si>
  <si>
    <t>A DSL and Model Transformations to Specify Learning Corpora for Modeling Assistants</t>
  </si>
  <si>
    <t>A framework for model transformation verification</t>
  </si>
  <si>
    <t>Formal Aspects of Computing</t>
  </si>
  <si>
    <t>An integrated big data analytics-enabled transformation model: Application to health care</t>
  </si>
  <si>
    <t>Information &amp; Management</t>
  </si>
  <si>
    <t>A Model Driven Transformation Development Process for Model to Model Transformation</t>
  </si>
  <si>
    <t>SBES</t>
  </si>
  <si>
    <t>An Approach for Incorporating the Usability Optimization Process into the Model Transformation</t>
  </si>
  <si>
    <t>Intelligent Systems Design and Applications</t>
  </si>
  <si>
    <t>Incremental Model Transformation with Epsilon in Model-Driven Engineering</t>
  </si>
  <si>
    <t>Acta Informatica Pragensia</t>
  </si>
  <si>
    <t>SysML Models and Model Transformation for Security</t>
  </si>
  <si>
    <t>MODELSWARD</t>
  </si>
  <si>
    <t>Model-to-Model Transformation: From UML Class Diagrams to Labeled Property Graphs</t>
  </si>
  <si>
    <t>Bus Inf Syst Eng</t>
  </si>
  <si>
    <t>Integrating SysML with simulation environments (Simulink) by model transformation approach</t>
  </si>
  <si>
    <t>Conference on Enabling Technologies</t>
  </si>
  <si>
    <t>Wiely</t>
  </si>
  <si>
    <t>Modeling and verification of Web services composition based on model transformation</t>
  </si>
  <si>
    <t>SOFTWARE: PRACTICE AND EXPERIENCE</t>
  </si>
  <si>
    <t>A model transformation framework to increase OCL usability</t>
  </si>
  <si>
    <t>Journal of King Saud University – Computer and Information Sciences</t>
  </si>
  <si>
    <t>Gremlin-ATL: A Scalable Model Transformation Framework</t>
  </si>
  <si>
    <t>On the use of model transformation for requirements trace models generation</t>
  </si>
  <si>
    <t>Conference on Wireless Technologies, Embedded and Intelligent Systems</t>
  </si>
  <si>
    <t>MoTrans-BDI: Leveraging the Beliefs-Desires-Intentions agent architecture for collaborative model transformation by example</t>
  </si>
  <si>
    <t>Journal of Computer Languages</t>
  </si>
  <si>
    <t>Automated test case generation from high-level logic requirements using model transformation techniques</t>
  </si>
  <si>
    <t>Computer Science and Electronic Engineering</t>
  </si>
  <si>
    <t>Road to a reactive and incremental model transformation platform: three generations of the VIATRA framework</t>
  </si>
  <si>
    <t>Runtime Support for Rule-Based Access-Control Evaluation through Model-Transformation</t>
  </si>
  <si>
    <t>Conference on Software Language Engineering</t>
  </si>
  <si>
    <t>Migration, Refactoring</t>
  </si>
  <si>
    <t>Statemachine diagram</t>
  </si>
  <si>
    <t>Scenario analysis, experimental evaluation</t>
  </si>
  <si>
    <t>Refinement, code generation</t>
  </si>
  <si>
    <t>Yese</t>
  </si>
  <si>
    <t>Cloud platform provider</t>
  </si>
  <si>
    <t>Vidual Contract Users</t>
  </si>
  <si>
    <t>Test designers</t>
  </si>
  <si>
    <t>Robatic Software Developers</t>
  </si>
  <si>
    <t>Participation in development</t>
  </si>
  <si>
    <t>Statemachine diagram, Process model</t>
  </si>
  <si>
    <t>Refinement, Refactoring</t>
  </si>
  <si>
    <t>Icremental prototyping</t>
  </si>
  <si>
    <t>Refactoring, Code generation</t>
  </si>
  <si>
    <t>Semi-formal rule specifications,
Scenario analysis</t>
  </si>
  <si>
    <t>SysML Model</t>
  </si>
  <si>
    <t>Simulink Users</t>
  </si>
  <si>
    <t>Abstraction, code generation</t>
  </si>
  <si>
    <t xml:space="preserve">Graph diagrams </t>
  </si>
  <si>
    <t>Security designers</t>
  </si>
  <si>
    <t>Document mining, 
Communication with domain experts</t>
  </si>
  <si>
    <t>Total</t>
  </si>
  <si>
    <t>Interviews</t>
  </si>
  <si>
    <t>Interviews,
Document mining</t>
  </si>
  <si>
    <t>Problem description</t>
  </si>
  <si>
    <t>Prototype and examples</t>
  </si>
  <si>
    <t>Business analysis</t>
  </si>
  <si>
    <t>Percentage</t>
  </si>
  <si>
    <t>Number of Case</t>
  </si>
  <si>
    <t>Automotive system (VCS) developers; General Motors</t>
  </si>
  <si>
    <t>Business process modeling users</t>
  </si>
  <si>
    <t xml:space="preserve">Critical systems developers 
</t>
  </si>
  <si>
    <t>End users of FrontArena software</t>
  </si>
  <si>
    <t>Financial companies</t>
  </si>
  <si>
    <t>Case study proposers</t>
  </si>
  <si>
    <t>Graphics and JavaScript applications users</t>
  </si>
  <si>
    <t>RTES developers, testers</t>
  </si>
  <si>
    <t>Software modellers</t>
  </si>
  <si>
    <t>Users requiring analysis of data</t>
  </si>
  <si>
    <t>Consultation,
demonstrations</t>
  </si>
  <si>
    <t>Constant feedback</t>
  </si>
  <si>
    <t>Consultation with domain experts</t>
  </si>
  <si>
    <t>Size/ Conciseness</t>
  </si>
  <si>
    <t>Text-to-model</t>
  </si>
  <si>
    <t>Green/brown field</t>
  </si>
  <si>
    <t>Academic or industry</t>
  </si>
  <si>
    <t xml:space="preserve">Academic </t>
  </si>
  <si>
    <t>Design patterns, verification through testing and inspection</t>
  </si>
  <si>
    <t>Incremental, experimentation</t>
  </si>
  <si>
    <t>Use case-driven approach</t>
  </si>
  <si>
    <t>UI task models</t>
  </si>
  <si>
    <t>Sequence diagrams</t>
  </si>
  <si>
    <t>Feature models</t>
  </si>
  <si>
    <t>Experimental prototyping</t>
  </si>
  <si>
    <t>Graphical mapping</t>
  </si>
  <si>
    <t>Not explicit RE process. Concrete grammar of the two languages used to express correspondence rules.</t>
  </si>
  <si>
    <t>Not explicit</t>
  </si>
  <si>
    <t>Observation</t>
  </si>
  <si>
    <t>Scenario analysis, OCL, UML,
Constructive Query
Containment (CQC) method.</t>
  </si>
  <si>
    <t>Semi-formal rule specification</t>
  </si>
  <si>
    <t>Experimental evaluation</t>
  </si>
  <si>
    <t>Stakeholder identification</t>
  </si>
  <si>
    <t>Stakeholder collaboration</t>
  </si>
  <si>
    <t>Structured interviews</t>
  </si>
  <si>
    <t>Detailed RE process</t>
  </si>
  <si>
    <t>Survey of developers</t>
  </si>
  <si>
    <t>Survey and questionnaire</t>
  </si>
  <si>
    <t>Empirical studies</t>
  </si>
  <si>
    <t>Low</t>
  </si>
  <si>
    <t>High</t>
  </si>
  <si>
    <t>Med</t>
  </si>
  <si>
    <t>Unknown</t>
  </si>
  <si>
    <t>Categorization</t>
  </si>
  <si>
    <t>Category#</t>
  </si>
  <si>
    <t>Brainstorming and Customer as developer</t>
  </si>
  <si>
    <t>Cat#</t>
  </si>
  <si>
    <t>Business modelling and analysis</t>
  </si>
  <si>
    <t>Interview and Collaboration</t>
  </si>
  <si>
    <t>Problem description and statement</t>
  </si>
  <si>
    <t>Other</t>
  </si>
  <si>
    <t>UML class diagram, sequence diagram</t>
  </si>
  <si>
    <t>Developers</t>
  </si>
  <si>
    <t>Analysts, experts and engineers</t>
  </si>
  <si>
    <t>End users (companies and projects)</t>
  </si>
  <si>
    <t>Constant feedback,
participation in development</t>
  </si>
  <si>
    <t>Collaboration and discusstion with experts</t>
  </si>
  <si>
    <t>Demonstrations</t>
  </si>
  <si>
    <t>Incremental</t>
  </si>
  <si>
    <t>Incremental development</t>
  </si>
  <si>
    <t>Process diagram</t>
  </si>
  <si>
    <t>Statemachine diagrams</t>
  </si>
  <si>
    <t>SysML model</t>
  </si>
  <si>
    <t>Others</t>
  </si>
  <si>
    <t>Formal specification</t>
  </si>
  <si>
    <t>Informal specifications &amp; mapping</t>
  </si>
  <si>
    <t xml:space="preserve">Semi-formal rule </t>
  </si>
  <si>
    <t>Feedback, email, forums</t>
  </si>
  <si>
    <t>JOT</t>
  </si>
  <si>
    <t>One-Way Model Transformations in the Context of the Technology-Roadmapping Tool IRIS</t>
  </si>
  <si>
    <t>Structural consistency between a system model and its implementation: a design science study in industry</t>
  </si>
  <si>
    <t>Co-evolution of Metamodel and Generators: Higher-order Templating to the Rescue</t>
  </si>
  <si>
    <t>Automating Model Transformations for Railway Systems Engineering</t>
  </si>
  <si>
    <t xml:space="preserve"> ECMDA-FA</t>
  </si>
  <si>
    <t>Transformations Between UML and OWL-S</t>
  </si>
  <si>
    <t>Toward Standardised Model to Text Transformations</t>
  </si>
  <si>
    <t>XRound: A reversible template language and its application in model-based security analysis</t>
  </si>
  <si>
    <t>Applying Triple Graph Grammars For Pattern-Based Workflow Model Transformations</t>
  </si>
  <si>
    <t>Semantic Anchoring with Model Transformations</t>
  </si>
  <si>
    <t>Mutation Analysis Testing for Model Transformations</t>
  </si>
  <si>
    <t>Migration, Refinement</t>
  </si>
  <si>
    <t>Scenarios of Traceability in Model to Text Transformations</t>
  </si>
  <si>
    <t>From UML Activities to TAAL - Towards Behaviour-Preserving Model Transformations</t>
  </si>
  <si>
    <t>UML activity diagram</t>
  </si>
  <si>
    <t>ECMFA</t>
  </si>
  <si>
    <t>Transformation Rules for Translating Business Rules to OCL Constraints</t>
  </si>
  <si>
    <t>Model Transformations for Migrating Legacy Models: An Industrial Case Study</t>
  </si>
  <si>
    <t>Towards the Systematic Construction of Domain-Specific Transformation Languages</t>
  </si>
  <si>
    <t>A Feature-Based Approach for Variability Exploration and Resolution in Model Transformation Migration</t>
  </si>
  <si>
    <t>Automatic Transformation Co-evolution Using Traceability Models and Graph Transformation</t>
  </si>
  <si>
    <t>UML class diagrams, feature diagrams</t>
  </si>
  <si>
    <t>Research (e.g., document mining, prototyping, and examples)</t>
  </si>
  <si>
    <t>Customer/Market Driven</t>
  </si>
  <si>
    <t>Customer</t>
  </si>
  <si>
    <t>Market</t>
  </si>
  <si>
    <t>InHouse/Outsourced</t>
  </si>
  <si>
    <t>In-House</t>
  </si>
  <si>
    <t>Outsourced</t>
  </si>
  <si>
    <t>Single Product/Product Line</t>
  </si>
  <si>
    <t>Single Product</t>
  </si>
  <si>
    <t>Product Line</t>
  </si>
  <si>
    <t>Customer or Market driven</t>
  </si>
  <si>
    <t>In-House or Outsourced</t>
  </si>
  <si>
    <t xml:space="preserve">In-House </t>
  </si>
  <si>
    <t>Single Product or Product Line</t>
  </si>
  <si>
    <t>Month</t>
  </si>
  <si>
    <t>Tom</t>
    <phoneticPr fontId="1" type="noConversion"/>
  </si>
  <si>
    <t>Jack</t>
    <phoneticPr fontId="1" type="noConversion"/>
  </si>
  <si>
    <t>Green/Brown</t>
  </si>
  <si>
    <t>Industrial/Academic</t>
  </si>
  <si>
    <t>Market/Customer</t>
  </si>
  <si>
    <t>Line/Single</t>
  </si>
  <si>
    <t>Outsourced/InHouse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</si>
</sst>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Arial"/>
      <family val="2"/>
      <scheme val="minor"/>
    </font>
    <font>
      <b/>
      <sz val="11"/>
      <color rgb="FF333333"/>
      <name val="Arial"/>
      <family val="2"/>
      <scheme val="minor"/>
    </font>
    <font>
      <sz val="11"/>
      <color theme="1"/>
      <name val="Arial"/>
      <family val="2"/>
      <charset val="178"/>
      <scheme val="minor"/>
    </font>
    <font>
      <b/>
      <sz val="10"/>
      <name val="Arial"/>
      <family val="2"/>
    </font>
    <font>
      <b/>
      <sz val="11"/>
      <color theme="1"/>
      <name val="Arial"/>
      <family val="2"/>
      <scheme val="minor"/>
    </font>
    <font>
      <sz val="11"/>
      <name val="Arial"/>
      <family val="2"/>
      <scheme val="minor"/>
    </font>
    <font>
      <b/>
      <sz val="11"/>
      <color theme="0"/>
      <name val="Arial"/>
      <family val="3"/>
      <charset val="134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/>
      <bottom style="thin">
        <color theme="0" tint="-0.14999847407452621"/>
      </bottom>
      <diagonal/>
    </border>
    <border>
      <left/>
      <right/>
      <top/>
      <bottom style="thin">
        <color theme="0" tint="-0.14999847407452621"/>
      </bottom>
      <diagonal/>
    </border>
    <border>
      <left/>
      <right style="double">
        <color indexed="64"/>
      </right>
      <top/>
      <bottom style="thin">
        <color theme="0" tint="-0.1499984740745262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2" borderId="0">
      <alignment vertical="center" wrapText="1"/>
    </xf>
    <xf numFmtId="0" fontId="2" fillId="0" borderId="0"/>
  </cellStyleXfs>
  <cellXfs count="68">
    <xf numFmtId="0" fontId="0" fillId="0" borderId="0" xfId="0"/>
    <xf numFmtId="0" fontId="1" fillId="0" borderId="0" xfId="0" applyFont="1" applyAlignment="1">
      <alignment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6" xfId="0" applyBorder="1" applyAlignment="1">
      <alignment horizontal="center" vertical="center" wrapText="1"/>
    </xf>
    <xf numFmtId="0" fontId="0" fillId="0" borderId="6" xfId="0" applyBorder="1" applyAlignment="1">
      <alignment vertical="center" wrapText="1"/>
    </xf>
    <xf numFmtId="0" fontId="0" fillId="3" borderId="5" xfId="0" applyFill="1" applyBorder="1" applyAlignment="1">
      <alignment horizontal="center" vertical="center" wrapText="1"/>
    </xf>
    <xf numFmtId="0" fontId="0" fillId="3" borderId="5" xfId="0" applyFill="1" applyBorder="1" applyAlignment="1">
      <alignment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2" xfId="0" applyBorder="1" applyAlignment="1">
      <alignment horizontal="center" wrapText="1"/>
    </xf>
    <xf numFmtId="0" fontId="0" fillId="0" borderId="12" xfId="0" applyBorder="1" applyAlignment="1">
      <alignment horizontal="center" vertical="center"/>
    </xf>
    <xf numFmtId="0" fontId="0" fillId="0" borderId="12" xfId="0" applyBorder="1" applyAlignment="1">
      <alignment vertical="center" wrapText="1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wrapText="1"/>
    </xf>
    <xf numFmtId="0" fontId="4" fillId="4" borderId="0" xfId="0" applyFont="1" applyFill="1"/>
    <xf numFmtId="0" fontId="4" fillId="4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0" fillId="7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0" borderId="6" xfId="0" quotePrefix="1" applyBorder="1" applyAlignment="1">
      <alignment horizontal="center" vertical="center" wrapText="1"/>
    </xf>
    <xf numFmtId="0" fontId="0" fillId="0" borderId="0" xfId="0" quotePrefix="1" applyAlignment="1">
      <alignment horizontal="center" vertical="center" wrapText="1"/>
    </xf>
    <xf numFmtId="0" fontId="0" fillId="0" borderId="12" xfId="0" quotePrefix="1" applyBorder="1" applyAlignment="1">
      <alignment horizontal="center" vertical="center" wrapText="1"/>
    </xf>
    <xf numFmtId="0" fontId="0" fillId="10" borderId="0" xfId="0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0" fillId="16" borderId="0" xfId="0" applyFill="1" applyAlignment="1">
      <alignment horizontal="center" vertical="center"/>
    </xf>
    <xf numFmtId="0" fontId="5" fillId="11" borderId="0" xfId="0" applyFont="1" applyFill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1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6" fillId="18" borderId="0" xfId="0" applyFont="1" applyFill="1" applyAlignment="1">
      <alignment vertical="center"/>
    </xf>
    <xf numFmtId="0" fontId="6" fillId="18" borderId="0" xfId="0" applyFont="1" applyFill="1" applyAlignment="1">
      <alignment horizontal="center" vertical="center"/>
    </xf>
    <xf numFmtId="0" fontId="0" fillId="18" borderId="0" xfId="0" applyFill="1" applyAlignment="1">
      <alignment vertical="center"/>
    </xf>
    <xf numFmtId="0" fontId="0" fillId="0" borderId="19" xfId="0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3" fillId="3" borderId="20" xfId="0" applyFont="1" applyFill="1" applyBorder="1" applyAlignment="1">
      <alignment horizontal="center" vertical="center" wrapText="1"/>
    </xf>
    <xf numFmtId="0" fontId="3" fillId="3" borderId="10" xfId="0" applyFont="1" applyFill="1" applyBorder="1" applyAlignment="1">
      <alignment horizontal="center" vertical="center" wrapText="1"/>
    </xf>
    <xf numFmtId="0" fontId="3" fillId="3" borderId="15" xfId="0" applyFont="1" applyFill="1" applyBorder="1" applyAlignment="1">
      <alignment horizontal="center" vertical="center" wrapText="1"/>
    </xf>
    <xf numFmtId="0" fontId="3" fillId="3" borderId="16" xfId="0" applyFont="1" applyFill="1" applyBorder="1" applyAlignment="1">
      <alignment horizontal="center" vertical="center" wrapText="1"/>
    </xf>
    <xf numFmtId="0" fontId="4" fillId="5" borderId="0" xfId="0" applyFont="1" applyFill="1" applyAlignment="1">
      <alignment horizontal="center"/>
    </xf>
  </cellXfs>
  <cellStyles count="3">
    <cellStyle name="IC/EC" xfId="1" xr:uid="{00000000-0005-0000-0000-000002000000}"/>
    <cellStyle name="Normal" xfId="0" builtinId="0"/>
    <cellStyle name="Normal 2" xfId="2" xr:uid="{00000000-0005-0000-0000-000005000000}"/>
  </cellStyles>
  <dxfs count="0"/>
  <tableStyles count="0" defaultTableStyle="TableStyleMedium2" defaultPivotStyle="PivotStyleLight16"/>
  <colors>
    <mruColors>
      <color rgb="FF00CCFF"/>
      <color rgb="FFFF99FF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'Stakeholders Information'!$H$4:$H$8</c:f>
              <c:strCache>
                <c:ptCount val="5"/>
                <c:pt idx="0">
                  <c:v>Brainstorming and Customer as developer</c:v>
                </c:pt>
                <c:pt idx="1">
                  <c:v>Business modelling and analysis</c:v>
                </c:pt>
                <c:pt idx="2">
                  <c:v>Interview and Collaboration</c:v>
                </c:pt>
                <c:pt idx="3">
                  <c:v>Research (e.g., document mining, prototyping, and examples)</c:v>
                </c:pt>
                <c:pt idx="4">
                  <c:v>Problem description and statement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a-I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'Stakeholders Information'!$H$4:$H$8</c:f>
              <c:strCache>
                <c:ptCount val="5"/>
                <c:pt idx="0">
                  <c:v>Brainstorming and Customer as developer</c:v>
                </c:pt>
                <c:pt idx="1">
                  <c:v>Business modelling and analysis</c:v>
                </c:pt>
                <c:pt idx="2">
                  <c:v>Interview and Collaboration</c:v>
                </c:pt>
                <c:pt idx="3">
                  <c:v>Research (e.g., document mining, prototyping, and examples)</c:v>
                </c:pt>
                <c:pt idx="4">
                  <c:v>Problem description and statement</c:v>
                </c:pt>
              </c:strCache>
            </c:strRef>
          </c:cat>
          <c:val>
            <c:numRef>
              <c:f>'Stakeholders Information'!$J$4:$J$8</c:f>
              <c:numCache>
                <c:formatCode>0.00%</c:formatCode>
                <c:ptCount val="5"/>
                <c:pt idx="0">
                  <c:v>3.8167938931297708E-3</c:v>
                </c:pt>
                <c:pt idx="1">
                  <c:v>3.0534351145038167E-2</c:v>
                </c:pt>
                <c:pt idx="2">
                  <c:v>1.9083969465648856E-2</c:v>
                </c:pt>
                <c:pt idx="3">
                  <c:v>0.68320610687022898</c:v>
                </c:pt>
                <c:pt idx="4">
                  <c:v>0.61832061068702293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76-4CFF-948D-88B469E08BB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374196464"/>
        <c:axId val="374198096"/>
      </c:barChart>
      <c:catAx>
        <c:axId val="37419646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374198096"/>
        <c:crosses val="autoZero"/>
        <c:auto val="1"/>
        <c:lblAlgn val="ctr"/>
        <c:lblOffset val="100"/>
        <c:noMultiLvlLbl val="0"/>
      </c:catAx>
      <c:valAx>
        <c:axId val="374198096"/>
        <c:scaling>
          <c:orientation val="minMax"/>
          <c:max val="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374196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'Stakeholders Information'!$H$4:$H$8</c:f>
              <c:strCache>
                <c:ptCount val="5"/>
                <c:pt idx="0">
                  <c:v>Brainstorming and Customer as developer</c:v>
                </c:pt>
                <c:pt idx="1">
                  <c:v>Business modelling and analysis</c:v>
                </c:pt>
                <c:pt idx="2">
                  <c:v>Interview and Collaboration</c:v>
                </c:pt>
                <c:pt idx="3">
                  <c:v>Research (e.g., document mining, prototyping, and examples)</c:v>
                </c:pt>
                <c:pt idx="4">
                  <c:v>Problem description and statement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64C-4A6E-814C-723017F9C06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64C-4A6E-814C-723017F9C06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a-I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'MT Project Information'!$A$49:$A$50</c:f>
              <c:strCache>
                <c:ptCount val="2"/>
                <c:pt idx="0">
                  <c:v>Academic </c:v>
                </c:pt>
                <c:pt idx="1">
                  <c:v>Industry</c:v>
                </c:pt>
              </c:strCache>
            </c:strRef>
          </c:cat>
          <c:val>
            <c:numRef>
              <c:f>'MT Project Information'!$C$49:$C$50</c:f>
              <c:numCache>
                <c:formatCode>0.00%</c:formatCode>
                <c:ptCount val="2"/>
                <c:pt idx="0">
                  <c:v>0.91984732824427484</c:v>
                </c:pt>
                <c:pt idx="1">
                  <c:v>8.0152671755725186E-2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4C-4A6E-814C-723017F9C06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1126280055780147"/>
          <c:y val="0.26983856469996043"/>
          <c:w val="0.11806347104644117"/>
          <c:h val="0.3861043396972638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'[1]Sheet2 (2)'!$B$1</c:f>
              <c:strCache>
                <c:ptCount val="1"/>
                <c:pt idx="0">
                  <c:v>Tom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a-I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'[1]Sheet2 (2)'!$A$2:$A$6</c:f>
              <c:strCache>
                <c:ptCount val="5"/>
                <c:pt idx="0">
                  <c:v>Feb</c:v>
                </c:pt>
                <c:pt idx="1">
                  <c:v>Mar</c:v>
                </c:pt>
                <c:pt idx="2">
                  <c:v>Apr</c:v>
                </c:pt>
                <c:pt idx="3">
                  <c:v>May</c:v>
                </c:pt>
                <c:pt idx="4">
                  <c:v>Jun</c:v>
                </c:pt>
              </c:strCache>
            </c:strRef>
          </c:cat>
          <c:val>
            <c:numRef>
              <c:f>Sheet1!$B$2:$B$6</c:f>
              <c:numCache>
                <c:formatCode>General</c:formatCode>
                <c:ptCount val="5"/>
                <c:pt idx="0">
                  <c:v>8.02</c:v>
                </c:pt>
                <c:pt idx="1">
                  <c:v>1.91</c:v>
                </c:pt>
                <c:pt idx="2">
                  <c:v>3.05</c:v>
                </c:pt>
                <c:pt idx="3">
                  <c:v>4.58</c:v>
                </c:pt>
                <c:pt idx="4">
                  <c:v>95.8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85-4382-B3D7-46D16B5FEB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axId val="1864759903"/>
        <c:axId val="1864761983"/>
      </c:barChart>
      <c:barChart>
        <c:barDir val="bar"/>
        <c:grouping val="clustered"/>
        <c:varyColors val="0"/>
        <c:ser>
          <c:idx val="1"/>
          <c:order val="1"/>
          <c:tx>
            <c:strRef>
              <c:f>'[1]Sheet2 (2)'!$C$1</c:f>
              <c:strCache>
                <c:ptCount val="1"/>
                <c:pt idx="0">
                  <c:v>Jack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a-I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'[1]Sheet2 (2)'!$A$2:$A$6</c:f>
              <c:strCache>
                <c:ptCount val="5"/>
                <c:pt idx="0">
                  <c:v>Feb</c:v>
                </c:pt>
                <c:pt idx="1">
                  <c:v>Mar</c:v>
                </c:pt>
                <c:pt idx="2">
                  <c:v>Apr</c:v>
                </c:pt>
                <c:pt idx="3">
                  <c:v>May</c:v>
                </c:pt>
                <c:pt idx="4">
                  <c:v>Jun</c:v>
                </c:pt>
              </c:strCache>
            </c:strRef>
          </c:cat>
          <c:val>
            <c:numRef>
              <c:f>Sheet1!$C$2:$C$6</c:f>
              <c:numCache>
                <c:formatCode>General</c:formatCode>
                <c:ptCount val="5"/>
                <c:pt idx="0">
                  <c:v>91.98</c:v>
                </c:pt>
                <c:pt idx="1">
                  <c:v>98.09</c:v>
                </c:pt>
                <c:pt idx="2">
                  <c:v>96.95</c:v>
                </c:pt>
                <c:pt idx="3">
                  <c:v>95.42</c:v>
                </c:pt>
                <c:pt idx="4">
                  <c:v>4.2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85-4382-B3D7-46D16B5FEB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axId val="1864774047"/>
        <c:axId val="1864763231"/>
      </c:barChart>
      <c:catAx>
        <c:axId val="186475990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864761983"/>
        <c:crosses val="autoZero"/>
        <c:auto val="1"/>
        <c:lblAlgn val="ctr"/>
        <c:lblOffset val="100"/>
        <c:noMultiLvlLbl val="0"/>
      </c:catAx>
      <c:valAx>
        <c:axId val="1864761983"/>
        <c:scaling>
          <c:orientation val="minMax"/>
          <c:max val="100"/>
          <c:min val="-100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out"/>
        <c:minorTickMark val="none"/>
        <c:tickLblPos val="nextTo"/>
        <c:crossAx val="1864759903"/>
        <c:crosses val="autoZero"/>
        <c:crossBetween val="between"/>
      </c:valAx>
      <c:valAx>
        <c:axId val="1864763231"/>
        <c:scaling>
          <c:orientation val="maxMin"/>
          <c:max val="100"/>
          <c:min val="-100"/>
        </c:scaling>
        <c:delete val="1"/>
        <c:axPos val="t"/>
        <c:numFmt formatCode="General" sourceLinked="1"/>
        <c:majorTickMark val="out"/>
        <c:minorTickMark val="none"/>
        <c:tickLblPos val="nextTo"/>
        <c:crossAx val="1864774047"/>
        <c:crosses val="max"/>
        <c:crossBetween val="between"/>
        <c:majorUnit val="20"/>
      </c:valAx>
      <c:catAx>
        <c:axId val="1864774047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186476323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'Stakeholders Information'!$H$4:$H$8</c:f>
              <c:strCache>
                <c:ptCount val="5"/>
                <c:pt idx="0">
                  <c:v>Brainstorming and Customer as developer</c:v>
                </c:pt>
                <c:pt idx="1">
                  <c:v>Business modelling and analysis</c:v>
                </c:pt>
                <c:pt idx="2">
                  <c:v>Interview and Collaboration</c:v>
                </c:pt>
                <c:pt idx="3">
                  <c:v>Research (e.g., document mining, prototyping, and examples)</c:v>
                </c:pt>
                <c:pt idx="4">
                  <c:v>Problem description and statement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a-I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'Methodology Information'!$H$4:$H$10</c:f>
              <c:strCache>
                <c:ptCount val="7"/>
                <c:pt idx="0">
                  <c:v>MDE for MT</c:v>
                </c:pt>
                <c:pt idx="1">
                  <c:v>Agile MDE</c:v>
                </c:pt>
                <c:pt idx="2">
                  <c:v>Prototyping</c:v>
                </c:pt>
                <c:pt idx="3">
                  <c:v>Formal methods</c:v>
                </c:pt>
                <c:pt idx="4">
                  <c:v>Incremental</c:v>
                </c:pt>
                <c:pt idx="5">
                  <c:v>Specification by example</c:v>
                </c:pt>
                <c:pt idx="6">
                  <c:v>None</c:v>
                </c:pt>
              </c:strCache>
            </c:strRef>
          </c:cat>
          <c:val>
            <c:numRef>
              <c:f>'Methodology Information'!$J$4:$J$10</c:f>
              <c:numCache>
                <c:formatCode>0.00%</c:formatCode>
                <c:ptCount val="7"/>
                <c:pt idx="0">
                  <c:v>0.13358778625954199</c:v>
                </c:pt>
                <c:pt idx="1">
                  <c:v>4.1984732824427481E-2</c:v>
                </c:pt>
                <c:pt idx="2">
                  <c:v>6.8702290076335881E-2</c:v>
                </c:pt>
                <c:pt idx="3">
                  <c:v>3.0534351145038167E-2</c:v>
                </c:pt>
                <c:pt idx="4">
                  <c:v>8.0152671755725186E-2</c:v>
                </c:pt>
                <c:pt idx="5">
                  <c:v>3.4351145038167941E-2</c:v>
                </c:pt>
                <c:pt idx="6">
                  <c:v>0.6145038167938931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23-4D29-87A3-200E6C1900E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374196464"/>
        <c:axId val="374198096"/>
      </c:barChart>
      <c:catAx>
        <c:axId val="37419646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374198096"/>
        <c:crosses val="autoZero"/>
        <c:auto val="1"/>
        <c:lblAlgn val="ctr"/>
        <c:lblOffset val="100"/>
        <c:noMultiLvlLbl val="0"/>
      </c:catAx>
      <c:valAx>
        <c:axId val="374198096"/>
        <c:scaling>
          <c:orientation val="minMax"/>
          <c:max val="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374196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'Methodology Information'!$H$27:$H$37</c:f>
              <c:strCache>
                <c:ptCount val="11"/>
                <c:pt idx="0">
                  <c:v>UML class diagram</c:v>
                </c:pt>
                <c:pt idx="1">
                  <c:v>Architecture diagrams</c:v>
                </c:pt>
                <c:pt idx="2">
                  <c:v>Process diagram</c:v>
                </c:pt>
                <c:pt idx="3">
                  <c:v>Graph diagrams</c:v>
                </c:pt>
                <c:pt idx="4">
                  <c:v>Sequence diagrams</c:v>
                </c:pt>
                <c:pt idx="5">
                  <c:v>Feature diagrams</c:v>
                </c:pt>
                <c:pt idx="6">
                  <c:v>Object diagrams</c:v>
                </c:pt>
                <c:pt idx="7">
                  <c:v>Statemachine diagrams</c:v>
                </c:pt>
                <c:pt idx="8">
                  <c:v>SysML model</c:v>
                </c:pt>
                <c:pt idx="9">
                  <c:v>Others</c:v>
                </c:pt>
                <c:pt idx="10">
                  <c:v>None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a-I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'Methodology Information'!$H$27:$H$37</c:f>
              <c:strCache>
                <c:ptCount val="11"/>
                <c:pt idx="0">
                  <c:v>UML class diagram</c:v>
                </c:pt>
                <c:pt idx="1">
                  <c:v>Architecture diagrams</c:v>
                </c:pt>
                <c:pt idx="2">
                  <c:v>Process diagram</c:v>
                </c:pt>
                <c:pt idx="3">
                  <c:v>Graph diagrams</c:v>
                </c:pt>
                <c:pt idx="4">
                  <c:v>Sequence diagrams</c:v>
                </c:pt>
                <c:pt idx="5">
                  <c:v>Feature diagrams</c:v>
                </c:pt>
                <c:pt idx="6">
                  <c:v>Object diagrams</c:v>
                </c:pt>
                <c:pt idx="7">
                  <c:v>Statemachine diagrams</c:v>
                </c:pt>
                <c:pt idx="8">
                  <c:v>SysML model</c:v>
                </c:pt>
                <c:pt idx="9">
                  <c:v>Others</c:v>
                </c:pt>
                <c:pt idx="10">
                  <c:v>None</c:v>
                </c:pt>
              </c:strCache>
            </c:strRef>
          </c:cat>
          <c:val>
            <c:numRef>
              <c:f>'Methodology Information'!$J$27:$J$37</c:f>
              <c:numCache>
                <c:formatCode>0.00%</c:formatCode>
                <c:ptCount val="11"/>
                <c:pt idx="0">
                  <c:v>0.52290076335877866</c:v>
                </c:pt>
                <c:pt idx="1">
                  <c:v>1.1450381679389313E-2</c:v>
                </c:pt>
                <c:pt idx="2">
                  <c:v>1.1450381679389313E-2</c:v>
                </c:pt>
                <c:pt idx="3">
                  <c:v>5.7251908396946563E-2</c:v>
                </c:pt>
                <c:pt idx="4">
                  <c:v>7.6335877862595417E-3</c:v>
                </c:pt>
                <c:pt idx="5">
                  <c:v>1.1450381679389313E-2</c:v>
                </c:pt>
                <c:pt idx="6">
                  <c:v>1.9083969465648856E-2</c:v>
                </c:pt>
                <c:pt idx="7">
                  <c:v>4.9618320610687022E-2</c:v>
                </c:pt>
                <c:pt idx="8">
                  <c:v>1.9083969465648856E-2</c:v>
                </c:pt>
                <c:pt idx="9">
                  <c:v>3.0534351145038167E-2</c:v>
                </c:pt>
                <c:pt idx="10">
                  <c:v>0.11068702290076336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F9-4900-9438-A5FF7D2F7FA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374196464"/>
        <c:axId val="374198096"/>
      </c:barChart>
      <c:catAx>
        <c:axId val="37419646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374198096"/>
        <c:crosses val="autoZero"/>
        <c:auto val="1"/>
        <c:lblAlgn val="ctr"/>
        <c:lblOffset val="100"/>
        <c:noMultiLvlLbl val="0"/>
      </c:catAx>
      <c:valAx>
        <c:axId val="374198096"/>
        <c:scaling>
          <c:orientation val="minMax"/>
          <c:max val="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374196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'Methodology Information'!$H$53:$H$61</c:f>
              <c:strCache>
                <c:ptCount val="9"/>
                <c:pt idx="0">
                  <c:v>Formal specification</c:v>
                </c:pt>
                <c:pt idx="1">
                  <c:v>Domain analysis</c:v>
                </c:pt>
                <c:pt idx="2">
                  <c:v>Prototyping</c:v>
                </c:pt>
                <c:pt idx="3">
                  <c:v>Informal specifications &amp; mapping</c:v>
                </c:pt>
                <c:pt idx="4">
                  <c:v>Semi-formal rule </c:v>
                </c:pt>
                <c:pt idx="5">
                  <c:v>Experimental evaluation</c:v>
                </c:pt>
                <c:pt idx="6">
                  <c:v>Stakeholder collaboration</c:v>
                </c:pt>
                <c:pt idx="7">
                  <c:v>Not explicit</c:v>
                </c:pt>
                <c:pt idx="8">
                  <c:v>None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a-I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'Methodology Information'!$H$53:$H$61</c:f>
              <c:strCache>
                <c:ptCount val="9"/>
                <c:pt idx="0">
                  <c:v>Formal specification</c:v>
                </c:pt>
                <c:pt idx="1">
                  <c:v>Domain analysis</c:v>
                </c:pt>
                <c:pt idx="2">
                  <c:v>Prototyping</c:v>
                </c:pt>
                <c:pt idx="3">
                  <c:v>Informal specifications &amp; mapping</c:v>
                </c:pt>
                <c:pt idx="4">
                  <c:v>Semi-formal rule </c:v>
                </c:pt>
                <c:pt idx="5">
                  <c:v>Experimental evaluation</c:v>
                </c:pt>
                <c:pt idx="6">
                  <c:v>Stakeholder collaboration</c:v>
                </c:pt>
                <c:pt idx="7">
                  <c:v>Not explicit</c:v>
                </c:pt>
                <c:pt idx="8">
                  <c:v>None</c:v>
                </c:pt>
              </c:strCache>
            </c:strRef>
          </c:cat>
          <c:val>
            <c:numRef>
              <c:f>'Methodology Information'!$J$53:$J$61</c:f>
              <c:numCache>
                <c:formatCode>0.00%</c:formatCode>
                <c:ptCount val="9"/>
                <c:pt idx="0">
                  <c:v>0.17938931297709923</c:v>
                </c:pt>
                <c:pt idx="1">
                  <c:v>0.30916030534351147</c:v>
                </c:pt>
                <c:pt idx="2">
                  <c:v>6.4885496183206104E-2</c:v>
                </c:pt>
                <c:pt idx="3">
                  <c:v>6.4885496183206104E-2</c:v>
                </c:pt>
                <c:pt idx="4">
                  <c:v>0.12977099236641221</c:v>
                </c:pt>
                <c:pt idx="5">
                  <c:v>0.22519083969465647</c:v>
                </c:pt>
                <c:pt idx="6">
                  <c:v>3.0534351145038167E-2</c:v>
                </c:pt>
                <c:pt idx="7">
                  <c:v>7.6335877862595417E-3</c:v>
                </c:pt>
                <c:pt idx="8">
                  <c:v>0.30152671755725191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0F-4353-A080-01EE4F08E5C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374196464"/>
        <c:axId val="374198096"/>
      </c:barChart>
      <c:catAx>
        <c:axId val="37419646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374198096"/>
        <c:crosses val="autoZero"/>
        <c:auto val="1"/>
        <c:lblAlgn val="ctr"/>
        <c:lblOffset val="100"/>
        <c:noMultiLvlLbl val="0"/>
      </c:catAx>
      <c:valAx>
        <c:axId val="374198096"/>
        <c:scaling>
          <c:orientation val="minMax"/>
          <c:max val="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374196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8740157499999996" l="0.7" r="0.7" t="0.78740157499999996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'Stakeholders Information'!$H$4:$H$8</c:f>
              <c:strCache>
                <c:ptCount val="5"/>
                <c:pt idx="0">
                  <c:v>Brainstorming and Customer as developer</c:v>
                </c:pt>
                <c:pt idx="1">
                  <c:v>Business modelling and analysis</c:v>
                </c:pt>
                <c:pt idx="2">
                  <c:v>Interview and Collaboration</c:v>
                </c:pt>
                <c:pt idx="3">
                  <c:v>Research (e.g., document mining, prototyping, and examples)</c:v>
                </c:pt>
                <c:pt idx="4">
                  <c:v>Problem description and statement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a-I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'SLR Case Outcomes'!$A$4:$A$12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'SLR Case Outcomes'!$C$4:$C$12</c:f>
              <c:numCache>
                <c:formatCode>0.00%</c:formatCode>
                <c:ptCount val="9"/>
                <c:pt idx="0">
                  <c:v>3.8167938931297708E-3</c:v>
                </c:pt>
                <c:pt idx="1">
                  <c:v>0.19847328244274809</c:v>
                </c:pt>
                <c:pt idx="2">
                  <c:v>0.21755725190839695</c:v>
                </c:pt>
                <c:pt idx="3">
                  <c:v>0.22137404580152673</c:v>
                </c:pt>
                <c:pt idx="4">
                  <c:v>0.18702290076335878</c:v>
                </c:pt>
                <c:pt idx="5">
                  <c:v>7.2519083969465645E-2</c:v>
                </c:pt>
                <c:pt idx="6">
                  <c:v>4.1984732824427481E-2</c:v>
                </c:pt>
                <c:pt idx="7">
                  <c:v>1.9083969465648856E-2</c:v>
                </c:pt>
                <c:pt idx="8">
                  <c:v>3.8167938931297708E-3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16-4B0E-8515-6A63C0CB63B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374196464"/>
        <c:axId val="374198096"/>
      </c:barChart>
      <c:catAx>
        <c:axId val="37419646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374198096"/>
        <c:crosses val="autoZero"/>
        <c:auto val="1"/>
        <c:lblAlgn val="ctr"/>
        <c:lblOffset val="100"/>
        <c:noMultiLvlLbl val="0"/>
      </c:catAx>
      <c:valAx>
        <c:axId val="374198096"/>
        <c:scaling>
          <c:orientation val="minMax"/>
          <c:max val="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374196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8740157499999996" l="0.7" r="0.7" t="0.78740157499999996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'Stakeholders Information'!$H$4:$H$8</c:f>
              <c:strCache>
                <c:ptCount val="5"/>
                <c:pt idx="0">
                  <c:v>Brainstorming and Customer as developer</c:v>
                </c:pt>
                <c:pt idx="1">
                  <c:v>Business modelling and analysis</c:v>
                </c:pt>
                <c:pt idx="2">
                  <c:v>Interview and Collaboration</c:v>
                </c:pt>
                <c:pt idx="3">
                  <c:v>Research (e.g., document mining, prototyping, and examples)</c:v>
                </c:pt>
                <c:pt idx="4">
                  <c:v>Problem description and statement</c:v>
                </c:pt>
              </c:strCache>
            </c:strRef>
          </c:tx>
          <c:dPt>
            <c:idx val="0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43F-4050-B524-9A9A3CD8781C}"/>
              </c:ext>
            </c:extLst>
          </c:dPt>
          <c:dPt>
            <c:idx val="1"/>
            <c:bubble3D val="0"/>
            <c:spPr>
              <a:solidFill>
                <a:srgbClr val="00CCFF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43F-4050-B524-9A9A3CD8781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D43F-4050-B524-9A9A3CD8781C}"/>
              </c:ext>
            </c:extLst>
          </c:dPt>
          <c:dPt>
            <c:idx val="3"/>
            <c:bubble3D val="0"/>
            <c:spPr>
              <a:solidFill>
                <a:srgbClr val="FFFF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B175-4A6B-A408-191DEC9A41E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a-I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'SLR Case Outcomes'!$A$25:$A$28</c:f>
              <c:strCache>
                <c:ptCount val="4"/>
                <c:pt idx="0">
                  <c:v>Low</c:v>
                </c:pt>
                <c:pt idx="1">
                  <c:v>Med</c:v>
                </c:pt>
                <c:pt idx="2">
                  <c:v>High</c:v>
                </c:pt>
                <c:pt idx="3">
                  <c:v>Unknown</c:v>
                </c:pt>
              </c:strCache>
            </c:strRef>
          </c:cat>
          <c:val>
            <c:numRef>
              <c:f>'SLR Case Outcomes'!$C$25:$C$28</c:f>
              <c:numCache>
                <c:formatCode>0.00%</c:formatCode>
                <c:ptCount val="4"/>
                <c:pt idx="0">
                  <c:v>0.27099236641221375</c:v>
                </c:pt>
                <c:pt idx="1">
                  <c:v>0.53435114503816794</c:v>
                </c:pt>
                <c:pt idx="2">
                  <c:v>0.15648854961832062</c:v>
                </c:pt>
                <c:pt idx="3">
                  <c:v>3.4351145038167941E-2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43F-4050-B524-9A9A3CD878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2318885899548782"/>
          <c:y val="0.26983856469996043"/>
          <c:w val="0.12760431779659026"/>
          <c:h val="0.4226340200625606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8740157499999996" l="0.7" r="0.7" t="0.78740157499999996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'Stakeholders Information'!$H$4:$H$8</c:f>
              <c:strCache>
                <c:ptCount val="5"/>
                <c:pt idx="0">
                  <c:v>Brainstorming and Customer as developer</c:v>
                </c:pt>
                <c:pt idx="1">
                  <c:v>Business modelling and analysis</c:v>
                </c:pt>
                <c:pt idx="2">
                  <c:v>Interview and Collaboration</c:v>
                </c:pt>
                <c:pt idx="3">
                  <c:v>Research (e.g., document mining, prototyping, and examples)</c:v>
                </c:pt>
                <c:pt idx="4">
                  <c:v>Problem description and statement</c:v>
                </c:pt>
              </c:strCache>
            </c:strRef>
          </c:tx>
          <c:dPt>
            <c:idx val="0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7F3-4687-997B-09805418BD14}"/>
              </c:ext>
            </c:extLst>
          </c:dPt>
          <c:dPt>
            <c:idx val="1"/>
            <c:bubble3D val="0"/>
            <c:spPr>
              <a:solidFill>
                <a:srgbClr val="00CCFF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7F3-4687-997B-09805418BD1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7F3-4687-997B-09805418BD14}"/>
              </c:ext>
            </c:extLst>
          </c:dPt>
          <c:dPt>
            <c:idx val="3"/>
            <c:bubble3D val="0"/>
            <c:spPr>
              <a:solidFill>
                <a:srgbClr val="FFFF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B7F3-4687-997B-09805418BD1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a-I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'SLR Case Outcomes'!$A$42:$A$45</c:f>
              <c:strCache>
                <c:ptCount val="4"/>
                <c:pt idx="0">
                  <c:v>Low</c:v>
                </c:pt>
                <c:pt idx="1">
                  <c:v>Med</c:v>
                </c:pt>
                <c:pt idx="2">
                  <c:v>High</c:v>
                </c:pt>
                <c:pt idx="3">
                  <c:v>Unknown</c:v>
                </c:pt>
              </c:strCache>
            </c:strRef>
          </c:cat>
          <c:val>
            <c:numRef>
              <c:f>'SLR Case Outcomes'!$C$42:$C$45</c:f>
              <c:numCache>
                <c:formatCode>0.00%</c:formatCode>
                <c:ptCount val="4"/>
                <c:pt idx="0">
                  <c:v>1.5267175572519083E-2</c:v>
                </c:pt>
                <c:pt idx="1">
                  <c:v>0.18702290076335878</c:v>
                </c:pt>
                <c:pt idx="2">
                  <c:v>4.1984732824427481E-2</c:v>
                </c:pt>
                <c:pt idx="3">
                  <c:v>0.75190839694656486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7F3-4687-997B-09805418BD1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2318885899548782"/>
          <c:y val="0.26983856469996043"/>
          <c:w val="0.12760431779659026"/>
          <c:h val="0.4226340200625606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'Stakeholders Information'!$H$4:$H$8</c:f>
              <c:strCache>
                <c:ptCount val="5"/>
                <c:pt idx="0">
                  <c:v>Brainstorming and Customer as developer</c:v>
                </c:pt>
                <c:pt idx="1">
                  <c:v>Business modelling and analysis</c:v>
                </c:pt>
                <c:pt idx="2">
                  <c:v>Interview and Collaboration</c:v>
                </c:pt>
                <c:pt idx="3">
                  <c:v>Research (e.g., document mining, prototyping, and examples)</c:v>
                </c:pt>
                <c:pt idx="4">
                  <c:v>Problem description and statement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a-I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'Stakeholders Information'!$H$20:$H$23</c:f>
              <c:strCache>
                <c:ptCount val="4"/>
                <c:pt idx="0">
                  <c:v>MDE practitioners</c:v>
                </c:pt>
                <c:pt idx="1">
                  <c:v>Analysts, experts and engineers</c:v>
                </c:pt>
                <c:pt idx="2">
                  <c:v>Developers</c:v>
                </c:pt>
                <c:pt idx="3">
                  <c:v>End users (companies and projects)</c:v>
                </c:pt>
              </c:strCache>
            </c:strRef>
          </c:cat>
          <c:val>
            <c:numRef>
              <c:f>'Stakeholders Information'!$J$20:$J$23</c:f>
              <c:numCache>
                <c:formatCode>0.00%</c:formatCode>
                <c:ptCount val="4"/>
                <c:pt idx="0">
                  <c:v>0.74427480916030531</c:v>
                </c:pt>
                <c:pt idx="1">
                  <c:v>8.3969465648854963E-2</c:v>
                </c:pt>
                <c:pt idx="2">
                  <c:v>0.10687022900763359</c:v>
                </c:pt>
                <c:pt idx="3">
                  <c:v>0.11068702290076336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16-4E56-80A0-E254ED447F1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374196464"/>
        <c:axId val="374198096"/>
      </c:barChart>
      <c:catAx>
        <c:axId val="37419646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374198096"/>
        <c:crosses val="autoZero"/>
        <c:auto val="1"/>
        <c:lblAlgn val="ctr"/>
        <c:lblOffset val="100"/>
        <c:noMultiLvlLbl val="0"/>
      </c:catAx>
      <c:valAx>
        <c:axId val="374198096"/>
        <c:scaling>
          <c:orientation val="minMax"/>
          <c:max val="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374196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'Stakeholders Information'!$H$4:$H$8</c:f>
              <c:strCache>
                <c:ptCount val="5"/>
                <c:pt idx="0">
                  <c:v>Brainstorming and Customer as developer</c:v>
                </c:pt>
                <c:pt idx="1">
                  <c:v>Business modelling and analysis</c:v>
                </c:pt>
                <c:pt idx="2">
                  <c:v>Interview and Collaboration</c:v>
                </c:pt>
                <c:pt idx="3">
                  <c:v>Research (e.g., document mining, prototyping, and examples)</c:v>
                </c:pt>
                <c:pt idx="4">
                  <c:v>Problem description and statement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a-I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'Stakeholders Information'!$H$72:$H$75</c:f>
              <c:strCache>
                <c:ptCount val="4"/>
                <c:pt idx="0">
                  <c:v>Feedback, email, forums</c:v>
                </c:pt>
                <c:pt idx="1">
                  <c:v>Collaboration and discusstion with experts</c:v>
                </c:pt>
                <c:pt idx="2">
                  <c:v>Participation in development</c:v>
                </c:pt>
                <c:pt idx="3">
                  <c:v>None</c:v>
                </c:pt>
              </c:strCache>
            </c:strRef>
          </c:cat>
          <c:val>
            <c:numRef>
              <c:f>'Stakeholders Information'!$J$72:$J$75</c:f>
              <c:numCache>
                <c:formatCode>0.00%</c:formatCode>
                <c:ptCount val="4"/>
                <c:pt idx="0">
                  <c:v>0.44656488549618323</c:v>
                </c:pt>
                <c:pt idx="1">
                  <c:v>9.1603053435114504E-2</c:v>
                </c:pt>
                <c:pt idx="2">
                  <c:v>6.8702290076335881E-2</c:v>
                </c:pt>
                <c:pt idx="3">
                  <c:v>0.40076335877862596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97-4C13-AE0B-167ABF95A12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374196464"/>
        <c:axId val="374198096"/>
      </c:barChart>
      <c:catAx>
        <c:axId val="37419646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374198096"/>
        <c:crosses val="autoZero"/>
        <c:auto val="1"/>
        <c:lblAlgn val="ctr"/>
        <c:lblOffset val="100"/>
        <c:noMultiLvlLbl val="0"/>
      </c:catAx>
      <c:valAx>
        <c:axId val="374198096"/>
        <c:scaling>
          <c:orientation val="minMax"/>
          <c:max val="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374196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'Stakeholders Information'!$H$4:$H$8</c:f>
              <c:strCache>
                <c:ptCount val="5"/>
                <c:pt idx="0">
                  <c:v>Brainstorming and Customer as developer</c:v>
                </c:pt>
                <c:pt idx="1">
                  <c:v>Business modelling and analysis</c:v>
                </c:pt>
                <c:pt idx="2">
                  <c:v>Interview and Collaboration</c:v>
                </c:pt>
                <c:pt idx="3">
                  <c:v>Research (e.g., document mining, prototyping, and examples)</c:v>
                </c:pt>
                <c:pt idx="4">
                  <c:v>Problem description and statement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a-I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'MT Requirements'!$A$19:$A$29</c:f>
              <c:strCache>
                <c:ptCount val="11"/>
                <c:pt idx="0">
                  <c:v>Syntactic correctness</c:v>
                </c:pt>
                <c:pt idx="1">
                  <c:v>Completeness</c:v>
                </c:pt>
                <c:pt idx="2">
                  <c:v>Semantic Correctness</c:v>
                </c:pt>
                <c:pt idx="3">
                  <c:v>Semantic Preservation</c:v>
                </c:pt>
                <c:pt idx="4">
                  <c:v>Confluence</c:v>
                </c:pt>
                <c:pt idx="5">
                  <c:v>Bidirectionality</c:v>
                </c:pt>
                <c:pt idx="6">
                  <c:v>Model synchronisation/ Change-propagation</c:v>
                </c:pt>
                <c:pt idx="7">
                  <c:v>Traceability</c:v>
                </c:pt>
                <c:pt idx="8">
                  <c:v>Invariance</c:v>
                </c:pt>
                <c:pt idx="9">
                  <c:v>Accuracy</c:v>
                </c:pt>
                <c:pt idx="10">
                  <c:v>Structural preservation</c:v>
                </c:pt>
              </c:strCache>
            </c:strRef>
          </c:cat>
          <c:val>
            <c:numRef>
              <c:f>'MT Requirements'!$C$19:$C$29</c:f>
              <c:numCache>
                <c:formatCode>0.00%</c:formatCode>
                <c:ptCount val="11"/>
                <c:pt idx="0">
                  <c:v>0.25572519083969464</c:v>
                </c:pt>
                <c:pt idx="1">
                  <c:v>0.18320610687022901</c:v>
                </c:pt>
                <c:pt idx="2">
                  <c:v>0.2862595419847328</c:v>
                </c:pt>
                <c:pt idx="3">
                  <c:v>0.12595419847328243</c:v>
                </c:pt>
                <c:pt idx="4">
                  <c:v>3.4351145038167941E-2</c:v>
                </c:pt>
                <c:pt idx="5">
                  <c:v>8.3969465648854963E-2</c:v>
                </c:pt>
                <c:pt idx="6">
                  <c:v>0.10687022900763359</c:v>
                </c:pt>
                <c:pt idx="7">
                  <c:v>8.7786259541984726E-2</c:v>
                </c:pt>
                <c:pt idx="8">
                  <c:v>1.9083969465648856E-2</c:v>
                </c:pt>
                <c:pt idx="9">
                  <c:v>0.10687022900763359</c:v>
                </c:pt>
                <c:pt idx="10">
                  <c:v>3.4351145038167941E-2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3A-4668-B797-8D9441A2CF8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374196464"/>
        <c:axId val="374198096"/>
      </c:barChart>
      <c:catAx>
        <c:axId val="37419646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374198096"/>
        <c:crosses val="autoZero"/>
        <c:auto val="1"/>
        <c:lblAlgn val="ctr"/>
        <c:lblOffset val="100"/>
        <c:noMultiLvlLbl val="0"/>
      </c:catAx>
      <c:valAx>
        <c:axId val="374198096"/>
        <c:scaling>
          <c:orientation val="minMax"/>
          <c:max val="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374196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'Stakeholders Information'!$H$4:$H$8</c:f>
              <c:strCache>
                <c:ptCount val="5"/>
                <c:pt idx="0">
                  <c:v>Brainstorming and Customer as developer</c:v>
                </c:pt>
                <c:pt idx="1">
                  <c:v>Business modelling and analysis</c:v>
                </c:pt>
                <c:pt idx="2">
                  <c:v>Interview and Collaboration</c:v>
                </c:pt>
                <c:pt idx="3">
                  <c:v>Research (e.g., document mining, prototyping, and examples)</c:v>
                </c:pt>
                <c:pt idx="4">
                  <c:v>Problem description and statement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345-44F3-8818-FE49C1FAF16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345-44F3-8818-FE49C1FAF16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345-44F3-8818-FE49C1FAF16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A345-44F3-8818-FE49C1FAF162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A345-44F3-8818-FE49C1FAF16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a-I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'MT Requirements'!$A$4:$A$8</c:f>
              <c:strCache>
                <c:ptCount val="5"/>
                <c:pt idx="0">
                  <c:v>Local mapping requirements</c:v>
                </c:pt>
                <c:pt idx="1">
                  <c:v>Local refactoring requirements</c:v>
                </c:pt>
                <c:pt idx="2">
                  <c:v>Local reactive requirements</c:v>
                </c:pt>
                <c:pt idx="3">
                  <c:v>Local correspondence requirements</c:v>
                </c:pt>
                <c:pt idx="4">
                  <c:v>None</c:v>
                </c:pt>
              </c:strCache>
            </c:strRef>
          </c:cat>
          <c:val>
            <c:numRef>
              <c:f>'MT Requirements'!$C$4:$C$8</c:f>
              <c:numCache>
                <c:formatCode>0.00%</c:formatCode>
                <c:ptCount val="5"/>
                <c:pt idx="0">
                  <c:v>0.3931297709923664</c:v>
                </c:pt>
                <c:pt idx="1">
                  <c:v>0.15267175572519084</c:v>
                </c:pt>
                <c:pt idx="2">
                  <c:v>8.7786259541984726E-2</c:v>
                </c:pt>
                <c:pt idx="3">
                  <c:v>8.7786259541984726E-2</c:v>
                </c:pt>
                <c:pt idx="4">
                  <c:v>0.2786259541984733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09-4FAD-902B-0FD3114640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0165641059573436E-2"/>
          <c:y val="0.16938194369539425"/>
          <c:w val="0.31902260116645081"/>
          <c:h val="0.596150001797720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'Stakeholders Information'!$H$4:$H$8</c:f>
              <c:strCache>
                <c:ptCount val="5"/>
                <c:pt idx="0">
                  <c:v>Brainstorming and Customer as developer</c:v>
                </c:pt>
                <c:pt idx="1">
                  <c:v>Business modelling and analysis</c:v>
                </c:pt>
                <c:pt idx="2">
                  <c:v>Interview and Collaboration</c:v>
                </c:pt>
                <c:pt idx="3">
                  <c:v>Research (e.g., document mining, prototyping, and examples)</c:v>
                </c:pt>
                <c:pt idx="4">
                  <c:v>Problem description and statement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a-I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'MT Requirements'!$A$40:$A$55</c:f>
              <c:strCache>
                <c:ptCount val="16"/>
                <c:pt idx="0">
                  <c:v>Efficiency</c:v>
                </c:pt>
                <c:pt idx="1">
                  <c:v>Simplicity/Clarity</c:v>
                </c:pt>
                <c:pt idx="2">
                  <c:v>Fault tolerance</c:v>
                </c:pt>
                <c:pt idx="3">
                  <c:v>Modularity</c:v>
                </c:pt>
                <c:pt idx="4">
                  <c:v>Size/ Conciseness</c:v>
                </c:pt>
                <c:pt idx="5">
                  <c:v>Scalability</c:v>
                </c:pt>
                <c:pt idx="6">
                  <c:v>Timing</c:v>
                </c:pt>
                <c:pt idx="7">
                  <c:v>(Process) Responsiveness</c:v>
                </c:pt>
                <c:pt idx="8">
                  <c:v>Reduced development effort</c:v>
                </c:pt>
                <c:pt idx="9">
                  <c:v>Architectural quality</c:v>
                </c:pt>
                <c:pt idx="10">
                  <c:v>Flexibility</c:v>
                </c:pt>
                <c:pt idx="11">
                  <c:v>Portability</c:v>
                </c:pt>
                <c:pt idx="12">
                  <c:v>Usability</c:v>
                </c:pt>
                <c:pt idx="13">
                  <c:v>Conformance to standards</c:v>
                </c:pt>
                <c:pt idx="14">
                  <c:v>Alignment to business view</c:v>
                </c:pt>
                <c:pt idx="15">
                  <c:v>Genericity</c:v>
                </c:pt>
              </c:strCache>
            </c:strRef>
          </c:cat>
          <c:val>
            <c:numRef>
              <c:f>'MT Requirements'!$C$40:$C$55</c:f>
              <c:numCache>
                <c:formatCode>0.00%</c:formatCode>
                <c:ptCount val="16"/>
                <c:pt idx="0">
                  <c:v>0.34351145038167941</c:v>
                </c:pt>
                <c:pt idx="1">
                  <c:v>7.2519083969465645E-2</c:v>
                </c:pt>
                <c:pt idx="2">
                  <c:v>4.5801526717557252E-2</c:v>
                </c:pt>
                <c:pt idx="3">
                  <c:v>6.8702290076335881E-2</c:v>
                </c:pt>
                <c:pt idx="4">
                  <c:v>0.11068702290076336</c:v>
                </c:pt>
                <c:pt idx="5">
                  <c:v>0.10305343511450382</c:v>
                </c:pt>
                <c:pt idx="6">
                  <c:v>4.9618320610687022E-2</c:v>
                </c:pt>
                <c:pt idx="7">
                  <c:v>5.3435114503816793E-2</c:v>
                </c:pt>
                <c:pt idx="8">
                  <c:v>7.6335877862595422E-2</c:v>
                </c:pt>
                <c:pt idx="9">
                  <c:v>4.5801526717557252E-2</c:v>
                </c:pt>
                <c:pt idx="10">
                  <c:v>9.9236641221374045E-2</c:v>
                </c:pt>
                <c:pt idx="11">
                  <c:v>7.6335877862595417E-3</c:v>
                </c:pt>
                <c:pt idx="12">
                  <c:v>5.7251908396946563E-2</c:v>
                </c:pt>
                <c:pt idx="13">
                  <c:v>4.9618320610687022E-2</c:v>
                </c:pt>
                <c:pt idx="14">
                  <c:v>3.4351145038167941E-2</c:v>
                </c:pt>
                <c:pt idx="15">
                  <c:v>2.6717557251908396E-2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26-4D84-A50A-0B995AE9A7B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374196464"/>
        <c:axId val="374198096"/>
      </c:barChart>
      <c:catAx>
        <c:axId val="37419646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374198096"/>
        <c:crosses val="autoZero"/>
        <c:auto val="1"/>
        <c:lblAlgn val="ctr"/>
        <c:lblOffset val="100"/>
        <c:noMultiLvlLbl val="0"/>
      </c:catAx>
      <c:valAx>
        <c:axId val="374198096"/>
        <c:scaling>
          <c:orientation val="minMax"/>
          <c:max val="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374196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'Stakeholders Information'!$H$4:$H$8</c:f>
              <c:strCache>
                <c:ptCount val="5"/>
                <c:pt idx="0">
                  <c:v>Brainstorming and Customer as developer</c:v>
                </c:pt>
                <c:pt idx="1">
                  <c:v>Business modelling and analysis</c:v>
                </c:pt>
                <c:pt idx="2">
                  <c:v>Interview and Collaboration</c:v>
                </c:pt>
                <c:pt idx="3">
                  <c:v>Research (e.g., document mining, prototyping, and examples)</c:v>
                </c:pt>
                <c:pt idx="4">
                  <c:v>Problem description and statement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a-I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'MT Project Information'!$A$4:$A$15</c:f>
              <c:strCache>
                <c:ptCount val="12"/>
                <c:pt idx="0">
                  <c:v>Abstraction</c:v>
                </c:pt>
                <c:pt idx="1">
                  <c:v>Code generation</c:v>
                </c:pt>
                <c:pt idx="2">
                  <c:v>Bidirectional</c:v>
                </c:pt>
                <c:pt idx="3">
                  <c:v>Code-to-code</c:v>
                </c:pt>
                <c:pt idx="4">
                  <c:v>Refactoring</c:v>
                </c:pt>
                <c:pt idx="5">
                  <c:v>Migration</c:v>
                </c:pt>
                <c:pt idx="6">
                  <c:v>Model execution</c:v>
                </c:pt>
                <c:pt idx="7">
                  <c:v>Text-to-model</c:v>
                </c:pt>
                <c:pt idx="8">
                  <c:v>Reactive</c:v>
                </c:pt>
                <c:pt idx="9">
                  <c:v>Refinement</c:v>
                </c:pt>
                <c:pt idx="10">
                  <c:v>Semantic mapping</c:v>
                </c:pt>
                <c:pt idx="11">
                  <c:v>Reverse engineering</c:v>
                </c:pt>
              </c:strCache>
            </c:strRef>
          </c:cat>
          <c:val>
            <c:numRef>
              <c:f>'MT Project Information'!$C$4:$C$15</c:f>
              <c:numCache>
                <c:formatCode>0.00%</c:formatCode>
                <c:ptCount val="12"/>
                <c:pt idx="0">
                  <c:v>3.8167938931297711E-2</c:v>
                </c:pt>
                <c:pt idx="1">
                  <c:v>0.18320610687022901</c:v>
                </c:pt>
                <c:pt idx="2">
                  <c:v>6.1068702290076333E-2</c:v>
                </c:pt>
                <c:pt idx="3">
                  <c:v>1.1450381679389313E-2</c:v>
                </c:pt>
                <c:pt idx="4">
                  <c:v>0.19465648854961831</c:v>
                </c:pt>
                <c:pt idx="5">
                  <c:v>0.25190839694656486</c:v>
                </c:pt>
                <c:pt idx="6">
                  <c:v>1.5267175572519083E-2</c:v>
                </c:pt>
                <c:pt idx="7">
                  <c:v>6.4885496183206104E-2</c:v>
                </c:pt>
                <c:pt idx="8">
                  <c:v>7.2519083969465645E-2</c:v>
                </c:pt>
                <c:pt idx="9">
                  <c:v>0.28244274809160308</c:v>
                </c:pt>
                <c:pt idx="10">
                  <c:v>6.8702290076335881E-2</c:v>
                </c:pt>
                <c:pt idx="11">
                  <c:v>3.8167938931297708E-3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F9-470F-9E89-BA36503AC65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374196464"/>
        <c:axId val="374198096"/>
      </c:barChart>
      <c:catAx>
        <c:axId val="37419646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374198096"/>
        <c:crosses val="autoZero"/>
        <c:auto val="1"/>
        <c:lblAlgn val="ctr"/>
        <c:lblOffset val="100"/>
        <c:noMultiLvlLbl val="0"/>
      </c:catAx>
      <c:valAx>
        <c:axId val="374198096"/>
        <c:scaling>
          <c:orientation val="minMax"/>
          <c:max val="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374196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'Stakeholders Information'!$H$4:$H$8</c:f>
              <c:strCache>
                <c:ptCount val="5"/>
                <c:pt idx="0">
                  <c:v>Brainstorming and Customer as developer</c:v>
                </c:pt>
                <c:pt idx="1">
                  <c:v>Business modelling and analysis</c:v>
                </c:pt>
                <c:pt idx="2">
                  <c:v>Interview and Collaboration</c:v>
                </c:pt>
                <c:pt idx="3">
                  <c:v>Research (e.g., document mining, prototyping, and examples)</c:v>
                </c:pt>
                <c:pt idx="4">
                  <c:v>Problem description and statement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C0C-43C4-91C8-82E7A0ADB98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C0C-43C4-91C8-82E7A0ADB982}"/>
              </c:ext>
            </c:extLst>
          </c:dPt>
          <c:dPt>
            <c:idx val="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2C0C-43C4-91C8-82E7A0ADB98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a-I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'MT Project Information'!$A$24:$A$26</c:f>
              <c:strCache>
                <c:ptCount val="3"/>
                <c:pt idx="0">
                  <c:v>Small</c:v>
                </c:pt>
                <c:pt idx="1">
                  <c:v>Medium</c:v>
                </c:pt>
                <c:pt idx="2">
                  <c:v>Large</c:v>
                </c:pt>
              </c:strCache>
            </c:strRef>
          </c:cat>
          <c:val>
            <c:numRef>
              <c:f>'MT Project Information'!$C$24:$C$26</c:f>
              <c:numCache>
                <c:formatCode>0.00%</c:formatCode>
                <c:ptCount val="3"/>
                <c:pt idx="0">
                  <c:v>0.66412213740458015</c:v>
                </c:pt>
                <c:pt idx="1">
                  <c:v>0.2786259541984733</c:v>
                </c:pt>
                <c:pt idx="2">
                  <c:v>5.7251908396946563E-2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C0C-43C4-91C8-82E7A0ADB9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2318885899548782"/>
          <c:y val="0.26983856469996043"/>
          <c:w val="0.10613744710482619"/>
          <c:h val="0.4226340200625606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'Stakeholders Information'!$H$4:$H$8</c:f>
              <c:strCache>
                <c:ptCount val="5"/>
                <c:pt idx="0">
                  <c:v>Brainstorming and Customer as developer</c:v>
                </c:pt>
                <c:pt idx="1">
                  <c:v>Business modelling and analysis</c:v>
                </c:pt>
                <c:pt idx="2">
                  <c:v>Interview and Collaboration</c:v>
                </c:pt>
                <c:pt idx="3">
                  <c:v>Research (e.g., document mining, prototyping, and examples)</c:v>
                </c:pt>
                <c:pt idx="4">
                  <c:v>Problem description and statement</c:v>
                </c:pt>
              </c:strCache>
            </c:strRef>
          </c:tx>
          <c:dPt>
            <c:idx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A76-46CF-A62D-6DEAEC6F127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A76-46CF-A62D-6DEAEC6F127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a-I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'MT Project Information'!$A$36:$A$37</c:f>
              <c:strCache>
                <c:ptCount val="2"/>
                <c:pt idx="0">
                  <c:v>Green</c:v>
                </c:pt>
                <c:pt idx="1">
                  <c:v>Brown</c:v>
                </c:pt>
              </c:strCache>
            </c:strRef>
          </c:cat>
          <c:val>
            <c:numRef>
              <c:f>'MT Project Information'!$C$36:$C$37</c:f>
              <c:numCache>
                <c:formatCode>0.00%</c:formatCode>
                <c:ptCount val="2"/>
                <c:pt idx="0">
                  <c:v>0.9580152671755725</c:v>
                </c:pt>
                <c:pt idx="1">
                  <c:v>4.1984732824427481E-2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A76-46CF-A62D-6DEAEC6F12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1841843562041328"/>
          <c:y val="0.30636824506525723"/>
          <c:w val="0.10613744710482619"/>
          <c:h val="0.3678394995146154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457200</xdr:colOff>
      <xdr:row>2</xdr:row>
      <xdr:rowOff>0</xdr:rowOff>
    </xdr:from>
    <xdr:to>
      <xdr:col>23</xdr:col>
      <xdr:colOff>76200</xdr:colOff>
      <xdr:row>13</xdr:row>
      <xdr:rowOff>22848</xdr:rowOff>
    </xdr:to>
    <xdr:sp macro="" textlink="">
      <xdr:nvSpPr>
        <xdr:cNvPr id="3" name="Rechteck 25">
          <a:extLst>
            <a:ext uri="{FF2B5EF4-FFF2-40B4-BE49-F238E27FC236}">
              <a16:creationId xmlns:a16="http://schemas.microsoft.com/office/drawing/2014/main" id="{D8B949C8-E2D0-4E64-BAB9-25706D73F2E9}"/>
            </a:ext>
          </a:extLst>
        </xdr:cNvPr>
        <xdr:cNvSpPr/>
      </xdr:nvSpPr>
      <xdr:spPr>
        <a:xfrm>
          <a:off x="15449550" y="371475"/>
          <a:ext cx="7848600" cy="2023098"/>
        </a:xfrm>
        <a:prstGeom prst="rect">
          <a:avLst/>
        </a:prstGeom>
        <a:solidFill>
          <a:schemeClr val="bg1"/>
        </a:solidFill>
        <a:ln w="6350">
          <a:solidFill>
            <a:srgbClr val="89898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619123</xdr:colOff>
      <xdr:row>2</xdr:row>
      <xdr:rowOff>0</xdr:rowOff>
    </xdr:from>
    <xdr:to>
      <xdr:col>23</xdr:col>
      <xdr:colOff>0</xdr:colOff>
      <xdr:row>12</xdr:row>
      <xdr:rowOff>160527</xdr:rowOff>
    </xdr:to>
    <xdr:grpSp>
      <xdr:nvGrpSpPr>
        <xdr:cNvPr id="4" name="Group 3">
          <a:extLst>
            <a:ext uri="{FF2B5EF4-FFF2-40B4-BE49-F238E27FC236}">
              <a16:creationId xmlns:a16="http://schemas.microsoft.com/office/drawing/2014/main" id="{73675190-6AF2-4805-BA4A-453104D5C7DC}"/>
            </a:ext>
          </a:extLst>
        </xdr:cNvPr>
        <xdr:cNvGrpSpPr/>
      </xdr:nvGrpSpPr>
      <xdr:grpSpPr>
        <a:xfrm>
          <a:off x="15849598" y="371475"/>
          <a:ext cx="7610477" cy="1979802"/>
          <a:chOff x="5525578" y="190499"/>
          <a:chExt cx="4557135" cy="2043546"/>
        </a:xfrm>
      </xdr:grpSpPr>
      <xdr:graphicFrame macro="">
        <xdr:nvGraphicFramePr>
          <xdr:cNvPr id="5" name="Diagramm 4">
            <a:extLst>
              <a:ext uri="{FF2B5EF4-FFF2-40B4-BE49-F238E27FC236}">
                <a16:creationId xmlns:a16="http://schemas.microsoft.com/office/drawing/2014/main" id="{BA32CE52-3997-3396-A761-0640D847D5AF}"/>
              </a:ext>
            </a:extLst>
          </xdr:cNvPr>
          <xdr:cNvGraphicFramePr>
            <a:graphicFrameLocks/>
          </xdr:cNvGraphicFramePr>
        </xdr:nvGraphicFramePr>
        <xdr:xfrm>
          <a:off x="5668988" y="190499"/>
          <a:ext cx="4413725" cy="204354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6" name="Textfeld 7">
            <a:extLst>
              <a:ext uri="{FF2B5EF4-FFF2-40B4-BE49-F238E27FC236}">
                <a16:creationId xmlns:a16="http://schemas.microsoft.com/office/drawing/2014/main" id="{5CDD627E-19CF-6BF7-4015-7348279C800D}"/>
              </a:ext>
            </a:extLst>
          </xdr:cNvPr>
          <xdr:cNvSpPr txBox="1"/>
        </xdr:nvSpPr>
        <xdr:spPr>
          <a:xfrm rot="16200000">
            <a:off x="4753664" y="1050898"/>
            <a:ext cx="1799196" cy="25536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pPr algn="ctr"/>
            <a:r>
              <a:rPr lang="en-US" sz="900"/>
              <a:t>How to find what was required</a:t>
            </a:r>
          </a:p>
        </xdr:txBody>
      </xdr:sp>
    </xdr:grpSp>
    <xdr:clientData/>
  </xdr:twoCellAnchor>
  <xdr:twoCellAnchor>
    <xdr:from>
      <xdr:col>11</xdr:col>
      <xdr:colOff>476250</xdr:colOff>
      <xdr:row>18</xdr:row>
      <xdr:rowOff>38100</xdr:rowOff>
    </xdr:from>
    <xdr:to>
      <xdr:col>23</xdr:col>
      <xdr:colOff>95250</xdr:colOff>
      <xdr:row>29</xdr:row>
      <xdr:rowOff>19050</xdr:rowOff>
    </xdr:to>
    <xdr:sp macro="" textlink="">
      <xdr:nvSpPr>
        <xdr:cNvPr id="7" name="Rechteck 25">
          <a:extLst>
            <a:ext uri="{FF2B5EF4-FFF2-40B4-BE49-F238E27FC236}">
              <a16:creationId xmlns:a16="http://schemas.microsoft.com/office/drawing/2014/main" id="{C5CB4B35-2729-493D-8C11-7FB43966EE23}"/>
            </a:ext>
          </a:extLst>
        </xdr:cNvPr>
        <xdr:cNvSpPr/>
      </xdr:nvSpPr>
      <xdr:spPr>
        <a:xfrm>
          <a:off x="15706725" y="3314700"/>
          <a:ext cx="7848600" cy="1981200"/>
        </a:xfrm>
        <a:prstGeom prst="rect">
          <a:avLst/>
        </a:prstGeom>
        <a:solidFill>
          <a:schemeClr val="bg1"/>
        </a:solidFill>
        <a:ln w="6350">
          <a:solidFill>
            <a:srgbClr val="89898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638173</xdr:colOff>
      <xdr:row>18</xdr:row>
      <xdr:rowOff>38100</xdr:rowOff>
    </xdr:from>
    <xdr:to>
      <xdr:col>23</xdr:col>
      <xdr:colOff>19050</xdr:colOff>
      <xdr:row>28</xdr:row>
      <xdr:rowOff>38100</xdr:rowOff>
    </xdr:to>
    <xdr:grpSp>
      <xdr:nvGrpSpPr>
        <xdr:cNvPr id="8" name="Group 7">
          <a:extLst>
            <a:ext uri="{FF2B5EF4-FFF2-40B4-BE49-F238E27FC236}">
              <a16:creationId xmlns:a16="http://schemas.microsoft.com/office/drawing/2014/main" id="{22C76AEA-48D0-4FBF-A465-BE83F18C5F29}"/>
            </a:ext>
          </a:extLst>
        </xdr:cNvPr>
        <xdr:cNvGrpSpPr/>
      </xdr:nvGrpSpPr>
      <xdr:grpSpPr>
        <a:xfrm>
          <a:off x="15868648" y="3314700"/>
          <a:ext cx="7610477" cy="1819275"/>
          <a:chOff x="5525578" y="190499"/>
          <a:chExt cx="4557135" cy="2043546"/>
        </a:xfrm>
      </xdr:grpSpPr>
      <xdr:graphicFrame macro="">
        <xdr:nvGraphicFramePr>
          <xdr:cNvPr id="9" name="Diagramm 4">
            <a:extLst>
              <a:ext uri="{FF2B5EF4-FFF2-40B4-BE49-F238E27FC236}">
                <a16:creationId xmlns:a16="http://schemas.microsoft.com/office/drawing/2014/main" id="{6CB79B69-EF21-44D5-CC37-074050D1F8A9}"/>
              </a:ext>
            </a:extLst>
          </xdr:cNvPr>
          <xdr:cNvGraphicFramePr>
            <a:graphicFrameLocks/>
          </xdr:cNvGraphicFramePr>
        </xdr:nvGraphicFramePr>
        <xdr:xfrm>
          <a:off x="5668988" y="190499"/>
          <a:ext cx="4413725" cy="204354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 macro="" textlink="">
        <xdr:nvSpPr>
          <xdr:cNvPr id="10" name="Textfeld 7">
            <a:extLst>
              <a:ext uri="{FF2B5EF4-FFF2-40B4-BE49-F238E27FC236}">
                <a16:creationId xmlns:a16="http://schemas.microsoft.com/office/drawing/2014/main" id="{6A2A013F-67C6-832A-6F1D-2D6A768795EA}"/>
              </a:ext>
            </a:extLst>
          </xdr:cNvPr>
          <xdr:cNvSpPr txBox="1"/>
        </xdr:nvSpPr>
        <xdr:spPr>
          <a:xfrm rot="16200000">
            <a:off x="4753664" y="1050898"/>
            <a:ext cx="1799196" cy="25536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pPr algn="ctr"/>
            <a:r>
              <a:rPr lang="en-US" sz="900"/>
              <a:t>Stakeholders</a:t>
            </a:r>
          </a:p>
        </xdr:txBody>
      </xdr:sp>
    </xdr:grpSp>
    <xdr:clientData/>
  </xdr:twoCellAnchor>
  <xdr:twoCellAnchor>
    <xdr:from>
      <xdr:col>11</xdr:col>
      <xdr:colOff>400050</xdr:colOff>
      <xdr:row>69</xdr:row>
      <xdr:rowOff>171450</xdr:rowOff>
    </xdr:from>
    <xdr:to>
      <xdr:col>23</xdr:col>
      <xdr:colOff>19050</xdr:colOff>
      <xdr:row>82</xdr:row>
      <xdr:rowOff>13323</xdr:rowOff>
    </xdr:to>
    <xdr:sp macro="" textlink="">
      <xdr:nvSpPr>
        <xdr:cNvPr id="11" name="Rechteck 25">
          <a:extLst>
            <a:ext uri="{FF2B5EF4-FFF2-40B4-BE49-F238E27FC236}">
              <a16:creationId xmlns:a16="http://schemas.microsoft.com/office/drawing/2014/main" id="{93B0901B-C027-4FD8-8FBE-37AB37E15F50}"/>
            </a:ext>
          </a:extLst>
        </xdr:cNvPr>
        <xdr:cNvSpPr/>
      </xdr:nvSpPr>
      <xdr:spPr>
        <a:xfrm>
          <a:off x="15630525" y="12687300"/>
          <a:ext cx="7848600" cy="2023098"/>
        </a:xfrm>
        <a:prstGeom prst="rect">
          <a:avLst/>
        </a:prstGeom>
        <a:solidFill>
          <a:schemeClr val="bg1"/>
        </a:solidFill>
        <a:ln w="6350">
          <a:solidFill>
            <a:srgbClr val="89898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561973</xdr:colOff>
      <xdr:row>69</xdr:row>
      <xdr:rowOff>171450</xdr:rowOff>
    </xdr:from>
    <xdr:to>
      <xdr:col>22</xdr:col>
      <xdr:colOff>628650</xdr:colOff>
      <xdr:row>81</xdr:row>
      <xdr:rowOff>151002</xdr:rowOff>
    </xdr:to>
    <xdr:grpSp>
      <xdr:nvGrpSpPr>
        <xdr:cNvPr id="12" name="Group 11">
          <a:extLst>
            <a:ext uri="{FF2B5EF4-FFF2-40B4-BE49-F238E27FC236}">
              <a16:creationId xmlns:a16="http://schemas.microsoft.com/office/drawing/2014/main" id="{1E5393F3-69E2-40E6-8029-613BE51F1AF3}"/>
            </a:ext>
          </a:extLst>
        </xdr:cNvPr>
        <xdr:cNvGrpSpPr/>
      </xdr:nvGrpSpPr>
      <xdr:grpSpPr>
        <a:xfrm>
          <a:off x="15792448" y="12687300"/>
          <a:ext cx="7610477" cy="2160777"/>
          <a:chOff x="5525578" y="190499"/>
          <a:chExt cx="4557135" cy="2043546"/>
        </a:xfrm>
      </xdr:grpSpPr>
      <xdr:graphicFrame macro="">
        <xdr:nvGraphicFramePr>
          <xdr:cNvPr id="13" name="Diagramm 4">
            <a:extLst>
              <a:ext uri="{FF2B5EF4-FFF2-40B4-BE49-F238E27FC236}">
                <a16:creationId xmlns:a16="http://schemas.microsoft.com/office/drawing/2014/main" id="{D0A326B4-EE28-21B2-625B-3A2F8D6F81D1}"/>
              </a:ext>
            </a:extLst>
          </xdr:cNvPr>
          <xdr:cNvGraphicFramePr>
            <a:graphicFrameLocks/>
          </xdr:cNvGraphicFramePr>
        </xdr:nvGraphicFramePr>
        <xdr:xfrm>
          <a:off x="5668988" y="190499"/>
          <a:ext cx="4413725" cy="204354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sp macro="" textlink="">
        <xdr:nvSpPr>
          <xdr:cNvPr id="14" name="Textfeld 7">
            <a:extLst>
              <a:ext uri="{FF2B5EF4-FFF2-40B4-BE49-F238E27FC236}">
                <a16:creationId xmlns:a16="http://schemas.microsoft.com/office/drawing/2014/main" id="{59D34E59-7AFE-EC19-E2F5-BB4EF6829FCB}"/>
              </a:ext>
            </a:extLst>
          </xdr:cNvPr>
          <xdr:cNvSpPr txBox="1"/>
        </xdr:nvSpPr>
        <xdr:spPr>
          <a:xfrm rot="16200000">
            <a:off x="4753664" y="1050898"/>
            <a:ext cx="1799196" cy="25536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pPr algn="ctr"/>
            <a:r>
              <a:rPr lang="en-US" sz="900"/>
              <a:t>Stakeholders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16</xdr:row>
      <xdr:rowOff>180974</xdr:rowOff>
    </xdr:from>
    <xdr:to>
      <xdr:col>19</xdr:col>
      <xdr:colOff>304800</xdr:colOff>
      <xdr:row>36</xdr:row>
      <xdr:rowOff>28575</xdr:rowOff>
    </xdr:to>
    <xdr:sp macro="" textlink="">
      <xdr:nvSpPr>
        <xdr:cNvPr id="2" name="Rechteck 25">
          <a:extLst>
            <a:ext uri="{FF2B5EF4-FFF2-40B4-BE49-F238E27FC236}">
              <a16:creationId xmlns:a16="http://schemas.microsoft.com/office/drawing/2014/main" id="{FFEA1F7A-1848-413F-98C9-DA936A5009A6}"/>
            </a:ext>
          </a:extLst>
        </xdr:cNvPr>
        <xdr:cNvSpPr/>
      </xdr:nvSpPr>
      <xdr:spPr>
        <a:xfrm>
          <a:off x="9420225" y="3095624"/>
          <a:ext cx="7848600" cy="3476626"/>
        </a:xfrm>
        <a:prstGeom prst="rect">
          <a:avLst/>
        </a:prstGeom>
        <a:solidFill>
          <a:schemeClr val="bg1"/>
        </a:solidFill>
        <a:ln w="6350">
          <a:solidFill>
            <a:srgbClr val="89898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161923</xdr:colOff>
      <xdr:row>17</xdr:row>
      <xdr:rowOff>0</xdr:rowOff>
    </xdr:from>
    <xdr:to>
      <xdr:col>19</xdr:col>
      <xdr:colOff>228600</xdr:colOff>
      <xdr:row>36</xdr:row>
      <xdr:rowOff>38100</xdr:rowOff>
    </xdr:to>
    <xdr:grpSp>
      <xdr:nvGrpSpPr>
        <xdr:cNvPr id="3" name="Group 2">
          <a:extLst>
            <a:ext uri="{FF2B5EF4-FFF2-40B4-BE49-F238E27FC236}">
              <a16:creationId xmlns:a16="http://schemas.microsoft.com/office/drawing/2014/main" id="{F6050EAE-21BF-45B3-9701-362181F31350}"/>
            </a:ext>
          </a:extLst>
        </xdr:cNvPr>
        <xdr:cNvGrpSpPr/>
      </xdr:nvGrpSpPr>
      <xdr:grpSpPr>
        <a:xfrm>
          <a:off x="9582148" y="3095625"/>
          <a:ext cx="7610477" cy="3486150"/>
          <a:chOff x="5525578" y="190499"/>
          <a:chExt cx="4557135" cy="2043546"/>
        </a:xfrm>
      </xdr:grpSpPr>
      <xdr:graphicFrame macro="">
        <xdr:nvGraphicFramePr>
          <xdr:cNvPr id="4" name="Diagramm 4">
            <a:extLst>
              <a:ext uri="{FF2B5EF4-FFF2-40B4-BE49-F238E27FC236}">
                <a16:creationId xmlns:a16="http://schemas.microsoft.com/office/drawing/2014/main" id="{6C83B47F-5F6D-923F-6C7D-499D3303D6C6}"/>
              </a:ext>
            </a:extLst>
          </xdr:cNvPr>
          <xdr:cNvGraphicFramePr>
            <a:graphicFrameLocks/>
          </xdr:cNvGraphicFramePr>
        </xdr:nvGraphicFramePr>
        <xdr:xfrm>
          <a:off x="5668988" y="190499"/>
          <a:ext cx="4413725" cy="204354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5" name="Textfeld 7">
            <a:extLst>
              <a:ext uri="{FF2B5EF4-FFF2-40B4-BE49-F238E27FC236}">
                <a16:creationId xmlns:a16="http://schemas.microsoft.com/office/drawing/2014/main" id="{7084F752-C558-F390-6EB5-E56DB859A374}"/>
              </a:ext>
            </a:extLst>
          </xdr:cNvPr>
          <xdr:cNvSpPr txBox="1"/>
        </xdr:nvSpPr>
        <xdr:spPr>
          <a:xfrm rot="16200000">
            <a:off x="4753664" y="1050898"/>
            <a:ext cx="1799196" cy="25536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pPr algn="ctr"/>
            <a:r>
              <a:rPr lang="en-US" sz="900"/>
              <a:t>Global Functional</a:t>
            </a:r>
          </a:p>
        </xdr:txBody>
      </xdr:sp>
    </xdr:grpSp>
    <xdr:clientData/>
  </xdr:twoCellAnchor>
  <xdr:twoCellAnchor>
    <xdr:from>
      <xdr:col>7</xdr:col>
      <xdr:colOff>247650</xdr:colOff>
      <xdr:row>0</xdr:row>
      <xdr:rowOff>95250</xdr:rowOff>
    </xdr:from>
    <xdr:to>
      <xdr:col>19</xdr:col>
      <xdr:colOff>304800</xdr:colOff>
      <xdr:row>15</xdr:row>
      <xdr:rowOff>152400</xdr:rowOff>
    </xdr:to>
    <xdr:sp macro="" textlink="">
      <xdr:nvSpPr>
        <xdr:cNvPr id="6" name="Rechteck 25">
          <a:extLst>
            <a:ext uri="{FF2B5EF4-FFF2-40B4-BE49-F238E27FC236}">
              <a16:creationId xmlns:a16="http://schemas.microsoft.com/office/drawing/2014/main" id="{735F9789-5F04-4548-BC2B-659515BDF13B}"/>
            </a:ext>
          </a:extLst>
        </xdr:cNvPr>
        <xdr:cNvSpPr/>
      </xdr:nvSpPr>
      <xdr:spPr>
        <a:xfrm>
          <a:off x="8982075" y="95250"/>
          <a:ext cx="8286750" cy="2609850"/>
        </a:xfrm>
        <a:prstGeom prst="rect">
          <a:avLst/>
        </a:prstGeom>
        <a:solidFill>
          <a:schemeClr val="bg1"/>
        </a:solidFill>
        <a:ln w="6350">
          <a:solidFill>
            <a:srgbClr val="89898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247650</xdr:colOff>
      <xdr:row>0</xdr:row>
      <xdr:rowOff>95250</xdr:rowOff>
    </xdr:from>
    <xdr:to>
      <xdr:col>19</xdr:col>
      <xdr:colOff>247650</xdr:colOff>
      <xdr:row>15</xdr:row>
      <xdr:rowOff>142875</xdr:rowOff>
    </xdr:to>
    <xdr:grpSp>
      <xdr:nvGrpSpPr>
        <xdr:cNvPr id="7" name="Group 6">
          <a:extLst>
            <a:ext uri="{FF2B5EF4-FFF2-40B4-BE49-F238E27FC236}">
              <a16:creationId xmlns:a16="http://schemas.microsoft.com/office/drawing/2014/main" id="{F5DED422-830A-4913-AA09-E86910AA2A19}"/>
            </a:ext>
          </a:extLst>
        </xdr:cNvPr>
        <xdr:cNvGrpSpPr/>
      </xdr:nvGrpSpPr>
      <xdr:grpSpPr>
        <a:xfrm>
          <a:off x="8982075" y="95250"/>
          <a:ext cx="8229600" cy="2781300"/>
          <a:chOff x="5491358" y="190499"/>
          <a:chExt cx="4591355" cy="2450239"/>
        </a:xfrm>
      </xdr:grpSpPr>
      <xdr:graphicFrame macro="">
        <xdr:nvGraphicFramePr>
          <xdr:cNvPr id="8" name="Diagramm 4">
            <a:extLst>
              <a:ext uri="{FF2B5EF4-FFF2-40B4-BE49-F238E27FC236}">
                <a16:creationId xmlns:a16="http://schemas.microsoft.com/office/drawing/2014/main" id="{669AF0BB-87BD-91BF-EF76-C8D9C3F89E7E}"/>
              </a:ext>
            </a:extLst>
          </xdr:cNvPr>
          <xdr:cNvGraphicFramePr>
            <a:graphicFrameLocks/>
          </xdr:cNvGraphicFramePr>
        </xdr:nvGraphicFramePr>
        <xdr:xfrm>
          <a:off x="5491358" y="190499"/>
          <a:ext cx="4591355" cy="245023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 macro="" textlink="">
        <xdr:nvSpPr>
          <xdr:cNvPr id="9" name="Textfeld 7">
            <a:extLst>
              <a:ext uri="{FF2B5EF4-FFF2-40B4-BE49-F238E27FC236}">
                <a16:creationId xmlns:a16="http://schemas.microsoft.com/office/drawing/2014/main" id="{374048F8-AC14-429A-D123-271AE5F07E5D}"/>
              </a:ext>
            </a:extLst>
          </xdr:cNvPr>
          <xdr:cNvSpPr txBox="1"/>
        </xdr:nvSpPr>
        <xdr:spPr>
          <a:xfrm rot="16200000">
            <a:off x="4708929" y="1211986"/>
            <a:ext cx="2037456" cy="25536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pPr algn="ctr"/>
            <a:r>
              <a:rPr lang="en-US" sz="900"/>
              <a:t>Local</a:t>
            </a:r>
            <a:r>
              <a:rPr lang="en-US" sz="900" baseline="0"/>
              <a:t> Functional</a:t>
            </a:r>
            <a:endParaRPr lang="en-US" sz="900"/>
          </a:p>
        </xdr:txBody>
      </xdr:sp>
    </xdr:grpSp>
    <xdr:clientData/>
  </xdr:twoCellAnchor>
  <xdr:twoCellAnchor>
    <xdr:from>
      <xdr:col>8</xdr:col>
      <xdr:colOff>0</xdr:colOff>
      <xdr:row>38</xdr:row>
      <xdr:rowOff>161924</xdr:rowOff>
    </xdr:from>
    <xdr:to>
      <xdr:col>19</xdr:col>
      <xdr:colOff>304800</xdr:colOff>
      <xdr:row>64</xdr:row>
      <xdr:rowOff>19050</xdr:rowOff>
    </xdr:to>
    <xdr:sp macro="" textlink="">
      <xdr:nvSpPr>
        <xdr:cNvPr id="10" name="Rechteck 25">
          <a:extLst>
            <a:ext uri="{FF2B5EF4-FFF2-40B4-BE49-F238E27FC236}">
              <a16:creationId xmlns:a16="http://schemas.microsoft.com/office/drawing/2014/main" id="{AB30F85C-C0AE-4E15-8EE2-1FE45D605508}"/>
            </a:ext>
          </a:extLst>
        </xdr:cNvPr>
        <xdr:cNvSpPr/>
      </xdr:nvSpPr>
      <xdr:spPr>
        <a:xfrm>
          <a:off x="9420225" y="7067549"/>
          <a:ext cx="7848600" cy="4572001"/>
        </a:xfrm>
        <a:prstGeom prst="rect">
          <a:avLst/>
        </a:prstGeom>
        <a:solidFill>
          <a:schemeClr val="bg1"/>
        </a:solidFill>
        <a:ln w="6350">
          <a:solidFill>
            <a:srgbClr val="89898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161923</xdr:colOff>
      <xdr:row>39</xdr:row>
      <xdr:rowOff>9525</xdr:rowOff>
    </xdr:from>
    <xdr:to>
      <xdr:col>19</xdr:col>
      <xdr:colOff>228600</xdr:colOff>
      <xdr:row>63</xdr:row>
      <xdr:rowOff>95250</xdr:rowOff>
    </xdr:to>
    <xdr:grpSp>
      <xdr:nvGrpSpPr>
        <xdr:cNvPr id="11" name="Group 10">
          <a:extLst>
            <a:ext uri="{FF2B5EF4-FFF2-40B4-BE49-F238E27FC236}">
              <a16:creationId xmlns:a16="http://schemas.microsoft.com/office/drawing/2014/main" id="{75B491CE-923D-445F-AAB5-130FC709AFED}"/>
            </a:ext>
          </a:extLst>
        </xdr:cNvPr>
        <xdr:cNvGrpSpPr/>
      </xdr:nvGrpSpPr>
      <xdr:grpSpPr>
        <a:xfrm>
          <a:off x="9582148" y="7105650"/>
          <a:ext cx="7610477" cy="4429125"/>
          <a:chOff x="5525578" y="190499"/>
          <a:chExt cx="4557135" cy="2043546"/>
        </a:xfrm>
      </xdr:grpSpPr>
      <xdr:graphicFrame macro="">
        <xdr:nvGraphicFramePr>
          <xdr:cNvPr id="12" name="Diagramm 4">
            <a:extLst>
              <a:ext uri="{FF2B5EF4-FFF2-40B4-BE49-F238E27FC236}">
                <a16:creationId xmlns:a16="http://schemas.microsoft.com/office/drawing/2014/main" id="{3E2B0743-9397-DE3A-CE09-D9EA8C8BB9A1}"/>
              </a:ext>
            </a:extLst>
          </xdr:cNvPr>
          <xdr:cNvGraphicFramePr>
            <a:graphicFrameLocks/>
          </xdr:cNvGraphicFramePr>
        </xdr:nvGraphicFramePr>
        <xdr:xfrm>
          <a:off x="5668988" y="190499"/>
          <a:ext cx="4413725" cy="204354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sp macro="" textlink="">
        <xdr:nvSpPr>
          <xdr:cNvPr id="13" name="Textfeld 7">
            <a:extLst>
              <a:ext uri="{FF2B5EF4-FFF2-40B4-BE49-F238E27FC236}">
                <a16:creationId xmlns:a16="http://schemas.microsoft.com/office/drawing/2014/main" id="{C462D821-1353-25F5-2F20-D8746C616B22}"/>
              </a:ext>
            </a:extLst>
          </xdr:cNvPr>
          <xdr:cNvSpPr txBox="1"/>
        </xdr:nvSpPr>
        <xdr:spPr>
          <a:xfrm rot="16200000">
            <a:off x="4753664" y="1050898"/>
            <a:ext cx="1799196" cy="25536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pPr algn="ctr"/>
            <a:r>
              <a:rPr lang="en-US" sz="900"/>
              <a:t>Non-Functional</a:t>
            </a: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114300</xdr:rowOff>
    </xdr:from>
    <xdr:to>
      <xdr:col>19</xdr:col>
      <xdr:colOff>304800</xdr:colOff>
      <xdr:row>20</xdr:row>
      <xdr:rowOff>114300</xdr:rowOff>
    </xdr:to>
    <xdr:sp macro="" textlink="">
      <xdr:nvSpPr>
        <xdr:cNvPr id="2" name="Rechteck 25">
          <a:extLst>
            <a:ext uri="{FF2B5EF4-FFF2-40B4-BE49-F238E27FC236}">
              <a16:creationId xmlns:a16="http://schemas.microsoft.com/office/drawing/2014/main" id="{207CC05A-8210-48C8-B1EC-4ECF39F0CBF1}"/>
            </a:ext>
          </a:extLst>
        </xdr:cNvPr>
        <xdr:cNvSpPr/>
      </xdr:nvSpPr>
      <xdr:spPr>
        <a:xfrm>
          <a:off x="9286875" y="114300"/>
          <a:ext cx="7848600" cy="3638550"/>
        </a:xfrm>
        <a:prstGeom prst="rect">
          <a:avLst/>
        </a:prstGeom>
        <a:solidFill>
          <a:schemeClr val="bg1"/>
        </a:solidFill>
        <a:ln w="6350">
          <a:solidFill>
            <a:srgbClr val="89898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161923</xdr:colOff>
      <xdr:row>0</xdr:row>
      <xdr:rowOff>114300</xdr:rowOff>
    </xdr:from>
    <xdr:to>
      <xdr:col>19</xdr:col>
      <xdr:colOff>228600</xdr:colOff>
      <xdr:row>20</xdr:row>
      <xdr:rowOff>133350</xdr:rowOff>
    </xdr:to>
    <xdr:grpSp>
      <xdr:nvGrpSpPr>
        <xdr:cNvPr id="3" name="Group 2">
          <a:extLst>
            <a:ext uri="{FF2B5EF4-FFF2-40B4-BE49-F238E27FC236}">
              <a16:creationId xmlns:a16="http://schemas.microsoft.com/office/drawing/2014/main" id="{29E71197-1CE6-4651-A43A-8E4639FC2DE6}"/>
            </a:ext>
          </a:extLst>
        </xdr:cNvPr>
        <xdr:cNvGrpSpPr/>
      </xdr:nvGrpSpPr>
      <xdr:grpSpPr>
        <a:xfrm>
          <a:off x="9448798" y="114300"/>
          <a:ext cx="7610477" cy="3657600"/>
          <a:chOff x="5525578" y="190499"/>
          <a:chExt cx="4557135" cy="2043546"/>
        </a:xfrm>
      </xdr:grpSpPr>
      <xdr:graphicFrame macro="">
        <xdr:nvGraphicFramePr>
          <xdr:cNvPr id="4" name="Diagramm 4">
            <a:extLst>
              <a:ext uri="{FF2B5EF4-FFF2-40B4-BE49-F238E27FC236}">
                <a16:creationId xmlns:a16="http://schemas.microsoft.com/office/drawing/2014/main" id="{7D5CCA4C-7430-4E98-432A-7762C0677C47}"/>
              </a:ext>
            </a:extLst>
          </xdr:cNvPr>
          <xdr:cNvGraphicFramePr>
            <a:graphicFrameLocks/>
          </xdr:cNvGraphicFramePr>
        </xdr:nvGraphicFramePr>
        <xdr:xfrm>
          <a:off x="5668988" y="190499"/>
          <a:ext cx="4413725" cy="204354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5" name="Textfeld 7">
            <a:extLst>
              <a:ext uri="{FF2B5EF4-FFF2-40B4-BE49-F238E27FC236}">
                <a16:creationId xmlns:a16="http://schemas.microsoft.com/office/drawing/2014/main" id="{9B016D54-04E4-85EA-C00D-4423C9831400}"/>
              </a:ext>
            </a:extLst>
          </xdr:cNvPr>
          <xdr:cNvSpPr txBox="1"/>
        </xdr:nvSpPr>
        <xdr:spPr>
          <a:xfrm rot="16200000">
            <a:off x="4753664" y="1050898"/>
            <a:ext cx="1799196" cy="25536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pPr algn="ctr"/>
            <a:r>
              <a:rPr lang="en-US" sz="900"/>
              <a:t>Type of Transformation</a:t>
            </a:r>
          </a:p>
        </xdr:txBody>
      </xdr:sp>
    </xdr:grpSp>
    <xdr:clientData/>
  </xdr:twoCellAnchor>
  <xdr:twoCellAnchor>
    <xdr:from>
      <xdr:col>8</xdr:col>
      <xdr:colOff>276225</xdr:colOff>
      <xdr:row>22</xdr:row>
      <xdr:rowOff>0</xdr:rowOff>
    </xdr:from>
    <xdr:to>
      <xdr:col>16</xdr:col>
      <xdr:colOff>114300</xdr:colOff>
      <xdr:row>37</xdr:row>
      <xdr:rowOff>47625</xdr:rowOff>
    </xdr:to>
    <xdr:grpSp>
      <xdr:nvGrpSpPr>
        <xdr:cNvPr id="7" name="Group 6">
          <a:extLst>
            <a:ext uri="{FF2B5EF4-FFF2-40B4-BE49-F238E27FC236}">
              <a16:creationId xmlns:a16="http://schemas.microsoft.com/office/drawing/2014/main" id="{DCB7E604-A3DA-446F-AC6C-6497E7E93751}"/>
            </a:ext>
          </a:extLst>
        </xdr:cNvPr>
        <xdr:cNvGrpSpPr/>
      </xdr:nvGrpSpPr>
      <xdr:grpSpPr>
        <a:xfrm>
          <a:off x="9563100" y="4000500"/>
          <a:ext cx="5324475" cy="2781300"/>
          <a:chOff x="5491358" y="190499"/>
          <a:chExt cx="3522060" cy="2450239"/>
        </a:xfrm>
      </xdr:grpSpPr>
      <xdr:graphicFrame macro="">
        <xdr:nvGraphicFramePr>
          <xdr:cNvPr id="8" name="Diagramm 4">
            <a:extLst>
              <a:ext uri="{FF2B5EF4-FFF2-40B4-BE49-F238E27FC236}">
                <a16:creationId xmlns:a16="http://schemas.microsoft.com/office/drawing/2014/main" id="{640D401E-B115-ACAF-CF0C-952A95E2C300}"/>
              </a:ext>
            </a:extLst>
          </xdr:cNvPr>
          <xdr:cNvGraphicFramePr>
            <a:graphicFrameLocks/>
          </xdr:cNvGraphicFramePr>
        </xdr:nvGraphicFramePr>
        <xdr:xfrm>
          <a:off x="5491358" y="190499"/>
          <a:ext cx="3522060" cy="245023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 macro="" textlink="">
        <xdr:nvSpPr>
          <xdr:cNvPr id="9" name="Textfeld 7">
            <a:extLst>
              <a:ext uri="{FF2B5EF4-FFF2-40B4-BE49-F238E27FC236}">
                <a16:creationId xmlns:a16="http://schemas.microsoft.com/office/drawing/2014/main" id="{A815E18F-B54D-DEF8-8182-2C80E305FBBD}"/>
              </a:ext>
            </a:extLst>
          </xdr:cNvPr>
          <xdr:cNvSpPr txBox="1"/>
        </xdr:nvSpPr>
        <xdr:spPr>
          <a:xfrm rot="16200000">
            <a:off x="4666036" y="1211986"/>
            <a:ext cx="2037456" cy="25536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pPr algn="ctr"/>
            <a:r>
              <a:rPr lang="en-US" sz="900"/>
              <a:t>Size/scale</a:t>
            </a:r>
          </a:p>
        </xdr:txBody>
      </xdr:sp>
    </xdr:grpSp>
    <xdr:clientData/>
  </xdr:twoCellAnchor>
  <xdr:twoCellAnchor>
    <xdr:from>
      <xdr:col>8</xdr:col>
      <xdr:colOff>238125</xdr:colOff>
      <xdr:row>39</xdr:row>
      <xdr:rowOff>0</xdr:rowOff>
    </xdr:from>
    <xdr:to>
      <xdr:col>16</xdr:col>
      <xdr:colOff>76200</xdr:colOff>
      <xdr:row>54</xdr:row>
      <xdr:rowOff>57150</xdr:rowOff>
    </xdr:to>
    <xdr:grpSp>
      <xdr:nvGrpSpPr>
        <xdr:cNvPr id="11" name="Group 10">
          <a:extLst>
            <a:ext uri="{FF2B5EF4-FFF2-40B4-BE49-F238E27FC236}">
              <a16:creationId xmlns:a16="http://schemas.microsoft.com/office/drawing/2014/main" id="{DE0B71B5-3335-43A8-852B-525C5F141FBB}"/>
            </a:ext>
          </a:extLst>
        </xdr:cNvPr>
        <xdr:cNvGrpSpPr/>
      </xdr:nvGrpSpPr>
      <xdr:grpSpPr>
        <a:xfrm>
          <a:off x="9525000" y="7096125"/>
          <a:ext cx="5324475" cy="2781300"/>
          <a:chOff x="5491358" y="190499"/>
          <a:chExt cx="3522060" cy="2450239"/>
        </a:xfrm>
      </xdr:grpSpPr>
      <xdr:graphicFrame macro="">
        <xdr:nvGraphicFramePr>
          <xdr:cNvPr id="12" name="Diagramm 4">
            <a:extLst>
              <a:ext uri="{FF2B5EF4-FFF2-40B4-BE49-F238E27FC236}">
                <a16:creationId xmlns:a16="http://schemas.microsoft.com/office/drawing/2014/main" id="{7505A87A-C60C-3730-A7F9-E3D28D138FC5}"/>
              </a:ext>
            </a:extLst>
          </xdr:cNvPr>
          <xdr:cNvGraphicFramePr>
            <a:graphicFrameLocks/>
          </xdr:cNvGraphicFramePr>
        </xdr:nvGraphicFramePr>
        <xdr:xfrm>
          <a:off x="5491358" y="190499"/>
          <a:ext cx="3522060" cy="245023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sp macro="" textlink="">
        <xdr:nvSpPr>
          <xdr:cNvPr id="13" name="Textfeld 7">
            <a:extLst>
              <a:ext uri="{FF2B5EF4-FFF2-40B4-BE49-F238E27FC236}">
                <a16:creationId xmlns:a16="http://schemas.microsoft.com/office/drawing/2014/main" id="{CB144FBC-2839-DEE1-983B-9117AC35FC6C}"/>
              </a:ext>
            </a:extLst>
          </xdr:cNvPr>
          <xdr:cNvSpPr txBox="1"/>
        </xdr:nvSpPr>
        <xdr:spPr>
          <a:xfrm rot="16200000">
            <a:off x="4697537" y="1211986"/>
            <a:ext cx="2037456" cy="25536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pPr algn="ctr"/>
            <a:r>
              <a:rPr lang="en-US" sz="900"/>
              <a:t>Green/brown field</a:t>
            </a:r>
          </a:p>
        </xdr:txBody>
      </xdr:sp>
    </xdr:grpSp>
    <xdr:clientData/>
  </xdr:twoCellAnchor>
  <xdr:twoCellAnchor>
    <xdr:from>
      <xdr:col>8</xdr:col>
      <xdr:colOff>190500</xdr:colOff>
      <xdr:row>56</xdr:row>
      <xdr:rowOff>123825</xdr:rowOff>
    </xdr:from>
    <xdr:to>
      <xdr:col>16</xdr:col>
      <xdr:colOff>28575</xdr:colOff>
      <xdr:row>72</xdr:row>
      <xdr:rowOff>9525</xdr:rowOff>
    </xdr:to>
    <xdr:grpSp>
      <xdr:nvGrpSpPr>
        <xdr:cNvPr id="14" name="Group 13">
          <a:extLst>
            <a:ext uri="{FF2B5EF4-FFF2-40B4-BE49-F238E27FC236}">
              <a16:creationId xmlns:a16="http://schemas.microsoft.com/office/drawing/2014/main" id="{509EDD0F-9FED-450F-9D1F-25AEB9ACDE97}"/>
            </a:ext>
          </a:extLst>
        </xdr:cNvPr>
        <xdr:cNvGrpSpPr/>
      </xdr:nvGrpSpPr>
      <xdr:grpSpPr>
        <a:xfrm>
          <a:off x="9477375" y="10315575"/>
          <a:ext cx="5324475" cy="2800350"/>
          <a:chOff x="5491358" y="190499"/>
          <a:chExt cx="3522060" cy="2450239"/>
        </a:xfrm>
      </xdr:grpSpPr>
      <xdr:graphicFrame macro="">
        <xdr:nvGraphicFramePr>
          <xdr:cNvPr id="15" name="Diagramm 4">
            <a:extLst>
              <a:ext uri="{FF2B5EF4-FFF2-40B4-BE49-F238E27FC236}">
                <a16:creationId xmlns:a16="http://schemas.microsoft.com/office/drawing/2014/main" id="{AFF00F06-2FB4-52E3-34F5-9AC97D714BB9}"/>
              </a:ext>
            </a:extLst>
          </xdr:cNvPr>
          <xdr:cNvGraphicFramePr>
            <a:graphicFrameLocks/>
          </xdr:cNvGraphicFramePr>
        </xdr:nvGraphicFramePr>
        <xdr:xfrm>
          <a:off x="5491358" y="190499"/>
          <a:ext cx="3522060" cy="245023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sp macro="" textlink="">
        <xdr:nvSpPr>
          <xdr:cNvPr id="16" name="Textfeld 7">
            <a:extLst>
              <a:ext uri="{FF2B5EF4-FFF2-40B4-BE49-F238E27FC236}">
                <a16:creationId xmlns:a16="http://schemas.microsoft.com/office/drawing/2014/main" id="{F49AA0DF-81F7-B09D-A361-754E3CE75C60}"/>
              </a:ext>
            </a:extLst>
          </xdr:cNvPr>
          <xdr:cNvSpPr txBox="1"/>
        </xdr:nvSpPr>
        <xdr:spPr>
          <a:xfrm rot="16200000">
            <a:off x="4666036" y="1211986"/>
            <a:ext cx="2037456" cy="25536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pPr algn="ctr"/>
            <a:r>
              <a:rPr lang="en-US" sz="900"/>
              <a:t>Academic or industry</a:t>
            </a:r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471486</xdr:colOff>
      <xdr:row>4</xdr:row>
      <xdr:rowOff>85724</xdr:rowOff>
    </xdr:from>
    <xdr:to>
      <xdr:col>18</xdr:col>
      <xdr:colOff>523875</xdr:colOff>
      <xdr:row>25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BD0185-CD10-4A43-83A8-E6CF51FF9E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552450</xdr:colOff>
      <xdr:row>6</xdr:row>
      <xdr:rowOff>85725</xdr:rowOff>
    </xdr:from>
    <xdr:to>
      <xdr:col>6</xdr:col>
      <xdr:colOff>609600</xdr:colOff>
      <xdr:row>24</xdr:row>
      <xdr:rowOff>28575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F1D054E-6BA6-4D40-8557-55AEE0BBB312}"/>
            </a:ext>
          </a:extLst>
        </xdr:cNvPr>
        <xdr:cNvSpPr txBox="1"/>
      </xdr:nvSpPr>
      <xdr:spPr>
        <a:xfrm>
          <a:off x="3295650" y="1181100"/>
          <a:ext cx="1428750" cy="3200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r"/>
          <a:r>
            <a:rPr lang="en-US" sz="1100"/>
            <a:t>Brown-field</a:t>
          </a:r>
        </a:p>
        <a:p>
          <a:pPr algn="r"/>
          <a:endParaRPr lang="en-US" sz="1100"/>
        </a:p>
        <a:p>
          <a:pPr algn="r"/>
          <a:endParaRPr lang="en-US" sz="1100"/>
        </a:p>
        <a:p>
          <a:pPr algn="r"/>
          <a:endParaRPr lang="en-US" sz="1200"/>
        </a:p>
        <a:p>
          <a:pPr algn="r"/>
          <a:r>
            <a:rPr lang="en-US" sz="1100"/>
            <a:t>Customer</a:t>
          </a:r>
          <a:r>
            <a:rPr lang="en-US" sz="1100" baseline="0"/>
            <a:t>-driven</a:t>
          </a:r>
        </a:p>
        <a:p>
          <a:pPr algn="r"/>
          <a:endParaRPr lang="en-US" sz="1100" baseline="0"/>
        </a:p>
        <a:p>
          <a:pPr algn="r"/>
          <a:endParaRPr lang="en-US" sz="1200" baseline="0"/>
        </a:p>
        <a:p>
          <a:pPr algn="r"/>
          <a:endParaRPr lang="en-US" sz="1050" baseline="0"/>
        </a:p>
        <a:p>
          <a:pPr algn="r"/>
          <a:r>
            <a:rPr lang="en-US" sz="1100" baseline="0"/>
            <a:t>In-House</a:t>
          </a:r>
        </a:p>
        <a:p>
          <a:pPr algn="r"/>
          <a:endParaRPr lang="en-US" sz="1100" baseline="0"/>
        </a:p>
        <a:p>
          <a:pPr algn="r"/>
          <a:endParaRPr lang="en-US" sz="1400" baseline="0"/>
        </a:p>
        <a:p>
          <a:pPr algn="r"/>
          <a:endParaRPr lang="en-US" sz="1100" baseline="0"/>
        </a:p>
        <a:p>
          <a:pPr algn="r"/>
          <a:r>
            <a:rPr lang="en-US" sz="1100" baseline="0"/>
            <a:t>Single Product</a:t>
          </a:r>
        </a:p>
        <a:p>
          <a:pPr algn="r"/>
          <a:endParaRPr lang="en-US" sz="1100" baseline="0"/>
        </a:p>
        <a:p>
          <a:pPr algn="r"/>
          <a:endParaRPr lang="en-US" sz="1200" baseline="0"/>
        </a:p>
        <a:p>
          <a:pPr algn="r"/>
          <a:endParaRPr lang="en-US" sz="1100" baseline="0"/>
        </a:p>
        <a:p>
          <a:pPr algn="r"/>
          <a:r>
            <a:rPr lang="en-US" sz="1100" baseline="0"/>
            <a:t>Academic</a:t>
          </a:r>
          <a:endParaRPr lang="fa-IR" sz="1100"/>
        </a:p>
      </xdr:txBody>
    </xdr:sp>
    <xdr:clientData/>
  </xdr:twoCellAnchor>
  <xdr:twoCellAnchor>
    <xdr:from>
      <xdr:col>18</xdr:col>
      <xdr:colOff>390525</xdr:colOff>
      <xdr:row>6</xdr:row>
      <xdr:rowOff>85725</xdr:rowOff>
    </xdr:from>
    <xdr:to>
      <xdr:col>20</xdr:col>
      <xdr:colOff>447675</xdr:colOff>
      <xdr:row>24</xdr:row>
      <xdr:rowOff>28575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4276C21A-40E1-4B8F-ABFC-C6ABE883F58D}"/>
            </a:ext>
          </a:extLst>
        </xdr:cNvPr>
        <xdr:cNvSpPr txBox="1"/>
      </xdr:nvSpPr>
      <xdr:spPr>
        <a:xfrm>
          <a:off x="13515975" y="1181100"/>
          <a:ext cx="1428750" cy="3200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l"/>
          <a:r>
            <a:rPr lang="en-US" sz="1100"/>
            <a:t>Green-field</a:t>
          </a:r>
        </a:p>
        <a:p>
          <a:pPr algn="l"/>
          <a:endParaRPr lang="en-US" sz="1100"/>
        </a:p>
        <a:p>
          <a:pPr algn="l"/>
          <a:endParaRPr lang="en-US" sz="1100"/>
        </a:p>
        <a:p>
          <a:pPr algn="l"/>
          <a:endParaRPr lang="en-US" sz="1200"/>
        </a:p>
        <a:p>
          <a:pPr algn="l"/>
          <a:r>
            <a:rPr lang="en-US" sz="1100"/>
            <a:t>Market</a:t>
          </a:r>
          <a:r>
            <a:rPr lang="en-US" sz="1100" baseline="0"/>
            <a:t>-driven</a:t>
          </a:r>
        </a:p>
        <a:p>
          <a:pPr algn="l"/>
          <a:endParaRPr lang="en-US" sz="1100" baseline="0"/>
        </a:p>
        <a:p>
          <a:pPr algn="l"/>
          <a:endParaRPr lang="en-US" sz="1200" baseline="0"/>
        </a:p>
        <a:p>
          <a:pPr algn="l"/>
          <a:endParaRPr lang="en-US" sz="1050" baseline="0"/>
        </a:p>
        <a:p>
          <a:pPr algn="l"/>
          <a:r>
            <a:rPr lang="en-US" sz="1100" baseline="0"/>
            <a:t>Outsourced</a:t>
          </a:r>
        </a:p>
        <a:p>
          <a:pPr algn="l"/>
          <a:endParaRPr lang="en-US" sz="1100" baseline="0"/>
        </a:p>
        <a:p>
          <a:pPr algn="l"/>
          <a:endParaRPr lang="en-US" sz="1400" baseline="0"/>
        </a:p>
        <a:p>
          <a:pPr algn="l"/>
          <a:endParaRPr lang="en-US" sz="1100" baseline="0"/>
        </a:p>
        <a:p>
          <a:pPr algn="l"/>
          <a:r>
            <a:rPr lang="en-US" sz="1100" baseline="0"/>
            <a:t>Product Line</a:t>
          </a:r>
        </a:p>
        <a:p>
          <a:pPr algn="l"/>
          <a:endParaRPr lang="en-US" sz="1100" baseline="0"/>
        </a:p>
        <a:p>
          <a:pPr algn="l"/>
          <a:endParaRPr lang="en-US" sz="1200" baseline="0"/>
        </a:p>
        <a:p>
          <a:pPr algn="l"/>
          <a:endParaRPr lang="en-US" sz="1100" baseline="0"/>
        </a:p>
        <a:p>
          <a:pPr algn="l"/>
          <a:r>
            <a:rPr lang="en-US" sz="1100" baseline="0"/>
            <a:t>Industrial</a:t>
          </a:r>
          <a:endParaRPr lang="fa-IR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2</xdr:row>
      <xdr:rowOff>0</xdr:rowOff>
    </xdr:from>
    <xdr:to>
      <xdr:col>24</xdr:col>
      <xdr:colOff>304800</xdr:colOff>
      <xdr:row>18</xdr:row>
      <xdr:rowOff>152400</xdr:rowOff>
    </xdr:to>
    <xdr:sp macro="" textlink="">
      <xdr:nvSpPr>
        <xdr:cNvPr id="3" name="Rechteck 25">
          <a:extLst>
            <a:ext uri="{FF2B5EF4-FFF2-40B4-BE49-F238E27FC236}">
              <a16:creationId xmlns:a16="http://schemas.microsoft.com/office/drawing/2014/main" id="{EB306198-ECBE-4AE5-AD80-C569A93B4EF6}"/>
            </a:ext>
          </a:extLst>
        </xdr:cNvPr>
        <xdr:cNvSpPr/>
      </xdr:nvSpPr>
      <xdr:spPr>
        <a:xfrm>
          <a:off x="16478250" y="371475"/>
          <a:ext cx="7848600" cy="3057525"/>
        </a:xfrm>
        <a:prstGeom prst="rect">
          <a:avLst/>
        </a:prstGeom>
        <a:solidFill>
          <a:schemeClr val="bg1"/>
        </a:solidFill>
        <a:ln w="6350">
          <a:solidFill>
            <a:srgbClr val="89898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161923</xdr:colOff>
      <xdr:row>2</xdr:row>
      <xdr:rowOff>0</xdr:rowOff>
    </xdr:from>
    <xdr:to>
      <xdr:col>24</xdr:col>
      <xdr:colOff>228600</xdr:colOff>
      <xdr:row>18</xdr:row>
      <xdr:rowOff>47625</xdr:rowOff>
    </xdr:to>
    <xdr:grpSp>
      <xdr:nvGrpSpPr>
        <xdr:cNvPr id="4" name="Group 3">
          <a:extLst>
            <a:ext uri="{FF2B5EF4-FFF2-40B4-BE49-F238E27FC236}">
              <a16:creationId xmlns:a16="http://schemas.microsoft.com/office/drawing/2014/main" id="{0F4C7E27-E6CD-40FB-87C4-7786467FF73B}"/>
            </a:ext>
          </a:extLst>
        </xdr:cNvPr>
        <xdr:cNvGrpSpPr/>
      </xdr:nvGrpSpPr>
      <xdr:grpSpPr>
        <a:xfrm>
          <a:off x="17106898" y="371475"/>
          <a:ext cx="7610477" cy="2952750"/>
          <a:chOff x="5525578" y="190499"/>
          <a:chExt cx="4557135" cy="2043546"/>
        </a:xfrm>
      </xdr:grpSpPr>
      <xdr:graphicFrame macro="">
        <xdr:nvGraphicFramePr>
          <xdr:cNvPr id="5" name="Diagramm 4">
            <a:extLst>
              <a:ext uri="{FF2B5EF4-FFF2-40B4-BE49-F238E27FC236}">
                <a16:creationId xmlns:a16="http://schemas.microsoft.com/office/drawing/2014/main" id="{C2BE572E-7D8B-731E-F077-9E361B67E2CE}"/>
              </a:ext>
            </a:extLst>
          </xdr:cNvPr>
          <xdr:cNvGraphicFramePr>
            <a:graphicFrameLocks/>
          </xdr:cNvGraphicFramePr>
        </xdr:nvGraphicFramePr>
        <xdr:xfrm>
          <a:off x="5668988" y="190499"/>
          <a:ext cx="4413725" cy="204354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6" name="Textfeld 7">
            <a:extLst>
              <a:ext uri="{FF2B5EF4-FFF2-40B4-BE49-F238E27FC236}">
                <a16:creationId xmlns:a16="http://schemas.microsoft.com/office/drawing/2014/main" id="{19630288-3DB9-149A-B84E-1821232BE105}"/>
              </a:ext>
            </a:extLst>
          </xdr:cNvPr>
          <xdr:cNvSpPr txBox="1"/>
        </xdr:nvSpPr>
        <xdr:spPr>
          <a:xfrm rot="16200000">
            <a:off x="4753664" y="1050898"/>
            <a:ext cx="1799196" cy="25536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pPr algn="ctr"/>
            <a:r>
              <a:rPr lang="en-US" sz="900"/>
              <a:t>Methodology</a:t>
            </a:r>
          </a:p>
        </xdr:txBody>
      </xdr:sp>
    </xdr:grpSp>
    <xdr:clientData/>
  </xdr:twoCellAnchor>
  <xdr:twoCellAnchor>
    <xdr:from>
      <xdr:col>13</xdr:col>
      <xdr:colOff>0</xdr:colOff>
      <xdr:row>24</xdr:row>
      <xdr:rowOff>180974</xdr:rowOff>
    </xdr:from>
    <xdr:to>
      <xdr:col>24</xdr:col>
      <xdr:colOff>304800</xdr:colOff>
      <xdr:row>48</xdr:row>
      <xdr:rowOff>66675</xdr:rowOff>
    </xdr:to>
    <xdr:sp macro="" textlink="">
      <xdr:nvSpPr>
        <xdr:cNvPr id="7" name="Rechteck 25">
          <a:extLst>
            <a:ext uri="{FF2B5EF4-FFF2-40B4-BE49-F238E27FC236}">
              <a16:creationId xmlns:a16="http://schemas.microsoft.com/office/drawing/2014/main" id="{0B967EFD-07CE-4A6B-AF82-A15415BFDC65}"/>
            </a:ext>
          </a:extLst>
        </xdr:cNvPr>
        <xdr:cNvSpPr/>
      </xdr:nvSpPr>
      <xdr:spPr>
        <a:xfrm>
          <a:off x="16944975" y="4543424"/>
          <a:ext cx="7848600" cy="4238626"/>
        </a:xfrm>
        <a:prstGeom prst="rect">
          <a:avLst/>
        </a:prstGeom>
        <a:solidFill>
          <a:schemeClr val="bg1"/>
        </a:solidFill>
        <a:ln w="6350">
          <a:solidFill>
            <a:srgbClr val="89898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161923</xdr:colOff>
      <xdr:row>25</xdr:row>
      <xdr:rowOff>0</xdr:rowOff>
    </xdr:from>
    <xdr:to>
      <xdr:col>24</xdr:col>
      <xdr:colOff>228600</xdr:colOff>
      <xdr:row>47</xdr:row>
      <xdr:rowOff>161925</xdr:rowOff>
    </xdr:to>
    <xdr:grpSp>
      <xdr:nvGrpSpPr>
        <xdr:cNvPr id="8" name="Group 7">
          <a:extLst>
            <a:ext uri="{FF2B5EF4-FFF2-40B4-BE49-F238E27FC236}">
              <a16:creationId xmlns:a16="http://schemas.microsoft.com/office/drawing/2014/main" id="{6A7A0D78-40EE-4200-AD2A-E8D658C3974A}"/>
            </a:ext>
          </a:extLst>
        </xdr:cNvPr>
        <xdr:cNvGrpSpPr/>
      </xdr:nvGrpSpPr>
      <xdr:grpSpPr>
        <a:xfrm>
          <a:off x="17106898" y="4543425"/>
          <a:ext cx="7610477" cy="4152900"/>
          <a:chOff x="5525578" y="190499"/>
          <a:chExt cx="4557135" cy="2043546"/>
        </a:xfrm>
      </xdr:grpSpPr>
      <xdr:graphicFrame macro="">
        <xdr:nvGraphicFramePr>
          <xdr:cNvPr id="9" name="Diagramm 4">
            <a:extLst>
              <a:ext uri="{FF2B5EF4-FFF2-40B4-BE49-F238E27FC236}">
                <a16:creationId xmlns:a16="http://schemas.microsoft.com/office/drawing/2014/main" id="{35060842-976B-A51C-24BC-F6F3CB54B5B8}"/>
              </a:ext>
            </a:extLst>
          </xdr:cNvPr>
          <xdr:cNvGraphicFramePr>
            <a:graphicFrameLocks/>
          </xdr:cNvGraphicFramePr>
        </xdr:nvGraphicFramePr>
        <xdr:xfrm>
          <a:off x="5668988" y="190499"/>
          <a:ext cx="4413725" cy="204354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 macro="" textlink="">
        <xdr:nvSpPr>
          <xdr:cNvPr id="10" name="Textfeld 7">
            <a:extLst>
              <a:ext uri="{FF2B5EF4-FFF2-40B4-BE49-F238E27FC236}">
                <a16:creationId xmlns:a16="http://schemas.microsoft.com/office/drawing/2014/main" id="{B73CA2C5-E310-20EE-2A14-35567C636F40}"/>
              </a:ext>
            </a:extLst>
          </xdr:cNvPr>
          <xdr:cNvSpPr txBox="1"/>
        </xdr:nvSpPr>
        <xdr:spPr>
          <a:xfrm rot="16200000">
            <a:off x="4753664" y="1050898"/>
            <a:ext cx="1799196" cy="25536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pPr algn="ctr"/>
            <a:r>
              <a:rPr lang="en-US" sz="900"/>
              <a:t>Diagrams</a:t>
            </a:r>
          </a:p>
        </xdr:txBody>
      </xdr:sp>
    </xdr:grpSp>
    <xdr:clientData/>
  </xdr:twoCellAnchor>
  <xdr:twoCellAnchor>
    <xdr:from>
      <xdr:col>13</xdr:col>
      <xdr:colOff>0</xdr:colOff>
      <xdr:row>51</xdr:row>
      <xdr:rowOff>1</xdr:rowOff>
    </xdr:from>
    <xdr:to>
      <xdr:col>24</xdr:col>
      <xdr:colOff>304800</xdr:colOff>
      <xdr:row>69</xdr:row>
      <xdr:rowOff>123825</xdr:rowOff>
    </xdr:to>
    <xdr:sp macro="" textlink="">
      <xdr:nvSpPr>
        <xdr:cNvPr id="11" name="Rechteck 25">
          <a:extLst>
            <a:ext uri="{FF2B5EF4-FFF2-40B4-BE49-F238E27FC236}">
              <a16:creationId xmlns:a16="http://schemas.microsoft.com/office/drawing/2014/main" id="{30501506-96CB-404C-B796-C8EE1E9B1963}"/>
            </a:ext>
          </a:extLst>
        </xdr:cNvPr>
        <xdr:cNvSpPr/>
      </xdr:nvSpPr>
      <xdr:spPr>
        <a:xfrm>
          <a:off x="16944975" y="8896351"/>
          <a:ext cx="7848600" cy="3390899"/>
        </a:xfrm>
        <a:prstGeom prst="rect">
          <a:avLst/>
        </a:prstGeom>
        <a:solidFill>
          <a:schemeClr val="bg1"/>
        </a:solidFill>
        <a:ln w="6350">
          <a:solidFill>
            <a:srgbClr val="89898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161923</xdr:colOff>
      <xdr:row>51</xdr:row>
      <xdr:rowOff>0</xdr:rowOff>
    </xdr:from>
    <xdr:to>
      <xdr:col>24</xdr:col>
      <xdr:colOff>228600</xdr:colOff>
      <xdr:row>69</xdr:row>
      <xdr:rowOff>76200</xdr:rowOff>
    </xdr:to>
    <xdr:grpSp>
      <xdr:nvGrpSpPr>
        <xdr:cNvPr id="12" name="Group 11">
          <a:extLst>
            <a:ext uri="{FF2B5EF4-FFF2-40B4-BE49-F238E27FC236}">
              <a16:creationId xmlns:a16="http://schemas.microsoft.com/office/drawing/2014/main" id="{288D9528-337B-4933-BBAC-864012F33F1C}"/>
            </a:ext>
          </a:extLst>
        </xdr:cNvPr>
        <xdr:cNvGrpSpPr/>
      </xdr:nvGrpSpPr>
      <xdr:grpSpPr>
        <a:xfrm>
          <a:off x="17106898" y="9258300"/>
          <a:ext cx="7610477" cy="3343275"/>
          <a:chOff x="5525578" y="190499"/>
          <a:chExt cx="4557135" cy="2043546"/>
        </a:xfrm>
      </xdr:grpSpPr>
      <xdr:graphicFrame macro="">
        <xdr:nvGraphicFramePr>
          <xdr:cNvPr id="13" name="Diagramm 4">
            <a:extLst>
              <a:ext uri="{FF2B5EF4-FFF2-40B4-BE49-F238E27FC236}">
                <a16:creationId xmlns:a16="http://schemas.microsoft.com/office/drawing/2014/main" id="{78A6CFCE-4457-D391-5135-71EB907E9BE5}"/>
              </a:ext>
            </a:extLst>
          </xdr:cNvPr>
          <xdr:cNvGraphicFramePr>
            <a:graphicFrameLocks/>
          </xdr:cNvGraphicFramePr>
        </xdr:nvGraphicFramePr>
        <xdr:xfrm>
          <a:off x="5668988" y="190499"/>
          <a:ext cx="4413725" cy="204354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sp macro="" textlink="">
        <xdr:nvSpPr>
          <xdr:cNvPr id="14" name="Textfeld 7">
            <a:extLst>
              <a:ext uri="{FF2B5EF4-FFF2-40B4-BE49-F238E27FC236}">
                <a16:creationId xmlns:a16="http://schemas.microsoft.com/office/drawing/2014/main" id="{892236B3-F367-75C1-056F-95BC0487436B}"/>
              </a:ext>
            </a:extLst>
          </xdr:cNvPr>
          <xdr:cNvSpPr txBox="1"/>
        </xdr:nvSpPr>
        <xdr:spPr>
          <a:xfrm rot="16200000">
            <a:off x="4753664" y="1050898"/>
            <a:ext cx="1799196" cy="25536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pPr algn="ctr"/>
            <a:r>
              <a:rPr lang="en-US" sz="900"/>
              <a:t>RE technique/process</a:t>
            </a:r>
          </a:p>
        </xdr:txBody>
      </xdr: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</xdr:row>
      <xdr:rowOff>0</xdr:rowOff>
    </xdr:from>
    <xdr:to>
      <xdr:col>17</xdr:col>
      <xdr:colOff>304800</xdr:colOff>
      <xdr:row>18</xdr:row>
      <xdr:rowOff>114300</xdr:rowOff>
    </xdr:to>
    <xdr:sp macro="" textlink="">
      <xdr:nvSpPr>
        <xdr:cNvPr id="6" name="Rechteck 25">
          <a:extLst>
            <a:ext uri="{FF2B5EF4-FFF2-40B4-BE49-F238E27FC236}">
              <a16:creationId xmlns:a16="http://schemas.microsoft.com/office/drawing/2014/main" id="{7E5B6F84-828F-4BDE-B247-9D4598B79D27}"/>
            </a:ext>
          </a:extLst>
        </xdr:cNvPr>
        <xdr:cNvSpPr/>
      </xdr:nvSpPr>
      <xdr:spPr>
        <a:xfrm>
          <a:off x="8477250" y="371475"/>
          <a:ext cx="7848600" cy="3019425"/>
        </a:xfrm>
        <a:prstGeom prst="rect">
          <a:avLst/>
        </a:prstGeom>
        <a:solidFill>
          <a:schemeClr val="bg1"/>
        </a:solidFill>
        <a:ln w="6350">
          <a:solidFill>
            <a:srgbClr val="89898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57572</xdr:colOff>
      <xdr:row>2</xdr:row>
      <xdr:rowOff>0</xdr:rowOff>
    </xdr:from>
    <xdr:to>
      <xdr:col>17</xdr:col>
      <xdr:colOff>228577</xdr:colOff>
      <xdr:row>18</xdr:row>
      <xdr:rowOff>38100</xdr:rowOff>
    </xdr:to>
    <xdr:grpSp>
      <xdr:nvGrpSpPr>
        <xdr:cNvPr id="7" name="Group 6">
          <a:extLst>
            <a:ext uri="{FF2B5EF4-FFF2-40B4-BE49-F238E27FC236}">
              <a16:creationId xmlns:a16="http://schemas.microsoft.com/office/drawing/2014/main" id="{312AC9FA-36C7-4631-A196-AD6172BD3F00}"/>
            </a:ext>
          </a:extLst>
        </xdr:cNvPr>
        <xdr:cNvGrpSpPr/>
      </xdr:nvGrpSpPr>
      <xdr:grpSpPr>
        <a:xfrm>
          <a:off x="8191922" y="374650"/>
          <a:ext cx="7714805" cy="2990850"/>
          <a:chOff x="5463018" y="190499"/>
          <a:chExt cx="4619695" cy="2043546"/>
        </a:xfrm>
      </xdr:grpSpPr>
      <xdr:graphicFrame macro="">
        <xdr:nvGraphicFramePr>
          <xdr:cNvPr id="8" name="Diagramm 4">
            <a:extLst>
              <a:ext uri="{FF2B5EF4-FFF2-40B4-BE49-F238E27FC236}">
                <a16:creationId xmlns:a16="http://schemas.microsoft.com/office/drawing/2014/main" id="{F062D8CD-BFFE-9E20-D268-182252BC4011}"/>
              </a:ext>
            </a:extLst>
          </xdr:cNvPr>
          <xdr:cNvGraphicFramePr>
            <a:graphicFrameLocks/>
          </xdr:cNvGraphicFramePr>
        </xdr:nvGraphicFramePr>
        <xdr:xfrm>
          <a:off x="5668988" y="190499"/>
          <a:ext cx="4413725" cy="204354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9" name="Textfeld 7">
            <a:extLst>
              <a:ext uri="{FF2B5EF4-FFF2-40B4-BE49-F238E27FC236}">
                <a16:creationId xmlns:a16="http://schemas.microsoft.com/office/drawing/2014/main" id="{6C45FD46-99C1-FE2F-FA81-ED506D9F3219}"/>
              </a:ext>
            </a:extLst>
          </xdr:cNvPr>
          <xdr:cNvSpPr txBox="1"/>
        </xdr:nvSpPr>
        <xdr:spPr>
          <a:xfrm rot="16200000">
            <a:off x="4691104" y="1050898"/>
            <a:ext cx="1799196" cy="25536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pPr algn="ctr"/>
            <a:r>
              <a:rPr lang="en-US" sz="900"/>
              <a:t>Percentage</a:t>
            </a:r>
            <a:r>
              <a:rPr lang="en-US" sz="900" baseline="0"/>
              <a:t> of R</a:t>
            </a:r>
            <a:r>
              <a:rPr lang="en-US" sz="900"/>
              <a:t>equirements expression</a:t>
            </a:r>
            <a:br>
              <a:rPr lang="en-US" sz="900"/>
            </a:br>
            <a:r>
              <a:rPr lang="en-US" sz="900"/>
              <a:t>Techniques</a:t>
            </a:r>
            <a:r>
              <a:rPr lang="en-US" sz="900" baseline="0"/>
              <a:t> and P</a:t>
            </a:r>
            <a:r>
              <a:rPr lang="en-US" sz="900"/>
              <a:t>rocess</a:t>
            </a:r>
          </a:p>
        </xdr:txBody>
      </xdr:sp>
    </xdr:grpSp>
    <xdr:clientData/>
  </xdr:twoCellAnchor>
  <xdr:twoCellAnchor>
    <xdr:from>
      <xdr:col>6</xdr:col>
      <xdr:colOff>0</xdr:colOff>
      <xdr:row>22</xdr:row>
      <xdr:rowOff>0</xdr:rowOff>
    </xdr:from>
    <xdr:to>
      <xdr:col>13</xdr:col>
      <xdr:colOff>523875</xdr:colOff>
      <xdr:row>38</xdr:row>
      <xdr:rowOff>57150</xdr:rowOff>
    </xdr:to>
    <xdr:grpSp>
      <xdr:nvGrpSpPr>
        <xdr:cNvPr id="10" name="Group 9">
          <a:extLst>
            <a:ext uri="{FF2B5EF4-FFF2-40B4-BE49-F238E27FC236}">
              <a16:creationId xmlns:a16="http://schemas.microsoft.com/office/drawing/2014/main" id="{470E20BD-CE95-4884-ACBA-5CB591A7C0CC}"/>
            </a:ext>
          </a:extLst>
        </xdr:cNvPr>
        <xdr:cNvGrpSpPr/>
      </xdr:nvGrpSpPr>
      <xdr:grpSpPr>
        <a:xfrm>
          <a:off x="8134350" y="4064000"/>
          <a:ext cx="5324475" cy="3009900"/>
          <a:chOff x="5491358" y="190499"/>
          <a:chExt cx="3522060" cy="2450239"/>
        </a:xfrm>
      </xdr:grpSpPr>
      <xdr:graphicFrame macro="">
        <xdr:nvGraphicFramePr>
          <xdr:cNvPr id="11" name="Diagramm 4">
            <a:extLst>
              <a:ext uri="{FF2B5EF4-FFF2-40B4-BE49-F238E27FC236}">
                <a16:creationId xmlns:a16="http://schemas.microsoft.com/office/drawing/2014/main" id="{22DEF943-4705-49CC-48AA-A32BFDCC1F21}"/>
              </a:ext>
            </a:extLst>
          </xdr:cNvPr>
          <xdr:cNvGraphicFramePr>
            <a:graphicFrameLocks/>
          </xdr:cNvGraphicFramePr>
        </xdr:nvGraphicFramePr>
        <xdr:xfrm>
          <a:off x="5491358" y="190499"/>
          <a:ext cx="3522060" cy="245023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 macro="" textlink="">
        <xdr:nvSpPr>
          <xdr:cNvPr id="12" name="Textfeld 7">
            <a:extLst>
              <a:ext uri="{FF2B5EF4-FFF2-40B4-BE49-F238E27FC236}">
                <a16:creationId xmlns:a16="http://schemas.microsoft.com/office/drawing/2014/main" id="{2E6FEE7E-1FCB-A665-C826-BD32A7B2A8F4}"/>
              </a:ext>
            </a:extLst>
          </xdr:cNvPr>
          <xdr:cNvSpPr txBox="1"/>
        </xdr:nvSpPr>
        <xdr:spPr>
          <a:xfrm rot="16200000">
            <a:off x="4666036" y="1211986"/>
            <a:ext cx="2037456" cy="25536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pPr algn="ctr"/>
            <a:r>
              <a:rPr lang="en-US" sz="900"/>
              <a:t>Size/scale</a:t>
            </a:r>
          </a:p>
        </xdr:txBody>
      </xdr:sp>
    </xdr:grpSp>
    <xdr:clientData/>
  </xdr:twoCellAnchor>
  <xdr:twoCellAnchor>
    <xdr:from>
      <xdr:col>6</xdr:col>
      <xdr:colOff>0</xdr:colOff>
      <xdr:row>41</xdr:row>
      <xdr:rowOff>0</xdr:rowOff>
    </xdr:from>
    <xdr:to>
      <xdr:col>13</xdr:col>
      <xdr:colOff>523875</xdr:colOff>
      <xdr:row>56</xdr:row>
      <xdr:rowOff>66675</xdr:rowOff>
    </xdr:to>
    <xdr:grpSp>
      <xdr:nvGrpSpPr>
        <xdr:cNvPr id="13" name="Group 12">
          <a:extLst>
            <a:ext uri="{FF2B5EF4-FFF2-40B4-BE49-F238E27FC236}">
              <a16:creationId xmlns:a16="http://schemas.microsoft.com/office/drawing/2014/main" id="{81B52495-5C14-43C4-8EAD-4C0B5CAE7AF0}"/>
            </a:ext>
          </a:extLst>
        </xdr:cNvPr>
        <xdr:cNvGrpSpPr/>
      </xdr:nvGrpSpPr>
      <xdr:grpSpPr>
        <a:xfrm>
          <a:off x="8134350" y="7575550"/>
          <a:ext cx="5324475" cy="2828925"/>
          <a:chOff x="5491358" y="190499"/>
          <a:chExt cx="3522060" cy="2450239"/>
        </a:xfrm>
      </xdr:grpSpPr>
      <xdr:graphicFrame macro="">
        <xdr:nvGraphicFramePr>
          <xdr:cNvPr id="14" name="Diagramm 4">
            <a:extLst>
              <a:ext uri="{FF2B5EF4-FFF2-40B4-BE49-F238E27FC236}">
                <a16:creationId xmlns:a16="http://schemas.microsoft.com/office/drawing/2014/main" id="{BD826FF0-FAF8-EBE5-7E21-4F22105D4FEA}"/>
              </a:ext>
            </a:extLst>
          </xdr:cNvPr>
          <xdr:cNvGraphicFramePr>
            <a:graphicFrameLocks/>
          </xdr:cNvGraphicFramePr>
        </xdr:nvGraphicFramePr>
        <xdr:xfrm>
          <a:off x="5491358" y="190499"/>
          <a:ext cx="3522060" cy="245023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sp macro="" textlink="">
        <xdr:nvSpPr>
          <xdr:cNvPr id="15" name="Textfeld 7">
            <a:extLst>
              <a:ext uri="{FF2B5EF4-FFF2-40B4-BE49-F238E27FC236}">
                <a16:creationId xmlns:a16="http://schemas.microsoft.com/office/drawing/2014/main" id="{3497773F-FE8C-78B5-804C-06E060F783B1}"/>
              </a:ext>
            </a:extLst>
          </xdr:cNvPr>
          <xdr:cNvSpPr txBox="1"/>
        </xdr:nvSpPr>
        <xdr:spPr>
          <a:xfrm rot="16200000">
            <a:off x="4666036" y="1211986"/>
            <a:ext cx="2037456" cy="25536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pPr algn="ctr"/>
            <a:r>
              <a:rPr lang="en-US" sz="900"/>
              <a:t>Stakeholder satisfaction</a:t>
            </a:r>
          </a:p>
        </xdr:txBody>
      </xdr: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ohammadreza-s\Desktop\Create_Bi-directional_Bar_Chart_in_Excel.xlsx" TargetMode="External"/><Relationship Id="rId1" Type="http://schemas.openxmlformats.org/officeDocument/2006/relationships/externalLinkPath" Target="file:///C:\Users\mohammadreza-s\Desktop\Create_Bi-directional_Bar_Chart_in_Exce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2 (3)"/>
      <sheetName val="Sheet2 (2)"/>
      <sheetName val="Sheet2"/>
    </sheetNames>
    <sheetDataSet>
      <sheetData sheetId="0"/>
      <sheetData sheetId="1">
        <row r="1">
          <cell r="B1" t="str">
            <v>Tom</v>
          </cell>
          <cell r="C1" t="str">
            <v>Jack</v>
          </cell>
        </row>
        <row r="2">
          <cell r="A2" t="str">
            <v>Feb</v>
          </cell>
        </row>
        <row r="3">
          <cell r="A3" t="str">
            <v>Mar</v>
          </cell>
        </row>
        <row r="4">
          <cell r="A4" t="str">
            <v>Apr</v>
          </cell>
        </row>
        <row r="5">
          <cell r="A5" t="str">
            <v>May</v>
          </cell>
        </row>
        <row r="6">
          <cell r="A6" t="str">
            <v>Jun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Custom 9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7CFFF"/>
      </a:accent1>
      <a:accent2>
        <a:srgbClr val="ED7D31"/>
      </a:accent2>
      <a:accent3>
        <a:srgbClr val="00C85A"/>
      </a:accent3>
      <a:accent4>
        <a:srgbClr val="4472C4"/>
      </a:accent4>
      <a:accent5>
        <a:srgbClr val="FFD965"/>
      </a:accent5>
      <a:accent6>
        <a:srgbClr val="D9291B"/>
      </a:accent6>
      <a:hlink>
        <a:srgbClr val="70AD47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DB368"/>
  <sheetViews>
    <sheetView zoomScale="70" zoomScaleNormal="70" workbookViewId="0">
      <pane xSplit="1" ySplit="3" topLeftCell="C75" activePane="bottomRight" state="frozen"/>
      <selection pane="topRight" activeCell="B1" sqref="B1"/>
      <selection pane="bottomLeft" activeCell="A3" sqref="A3"/>
      <selection pane="bottomRight" activeCell="L258" sqref="L258"/>
    </sheetView>
  </sheetViews>
  <sheetFormatPr defaultColWidth="9.125" defaultRowHeight="14.25"/>
  <cols>
    <col min="1" max="1" width="7.375" style="4" customWidth="1"/>
    <col min="2" max="2" width="13.125" style="4" customWidth="1"/>
    <col min="3" max="3" width="11.625" style="4" customWidth="1"/>
    <col min="4" max="4" width="8.625" style="4" customWidth="1"/>
    <col min="5" max="5" width="104" style="3" customWidth="1"/>
    <col min="6" max="6" width="40.5" style="4" bestFit="1" customWidth="1"/>
    <col min="7" max="7" width="16.25" style="6" hidden="1" customWidth="1"/>
    <col min="8" max="8" width="14" style="4" hidden="1" customWidth="1"/>
    <col min="9" max="9" width="16.5" style="4" hidden="1" customWidth="1"/>
    <col min="10" max="10" width="19.375" style="4" hidden="1" customWidth="1"/>
    <col min="11" max="11" width="21.875" style="7" hidden="1" customWidth="1"/>
    <col min="12" max="12" width="27.25" style="7" customWidth="1"/>
    <col min="13" max="13" width="31.875" style="3" customWidth="1"/>
    <col min="14" max="14" width="24" style="3" customWidth="1"/>
    <col min="15" max="15" width="12.125" style="7" customWidth="1"/>
    <col min="16" max="16" width="12.125" style="3" customWidth="1"/>
    <col min="17" max="17" width="11.875" style="3" customWidth="1"/>
    <col min="18" max="18" width="14.25" style="3" customWidth="1"/>
    <col min="19" max="19" width="10.875" style="3" customWidth="1"/>
    <col min="20" max="20" width="12.875" style="3" customWidth="1"/>
    <col min="21" max="21" width="10.625" style="3" customWidth="1"/>
    <col min="22" max="22" width="11.625" style="3" customWidth="1"/>
    <col min="23" max="23" width="9.75" style="3" customWidth="1"/>
    <col min="24" max="24" width="12.75" style="3" customWidth="1"/>
    <col min="25" max="25" width="17.75" style="3" customWidth="1"/>
    <col min="26" max="26" width="10.5" style="3" customWidth="1"/>
    <col min="27" max="28" width="9.75" style="3" customWidth="1"/>
    <col min="29" max="29" width="11" style="3" customWidth="1"/>
    <col min="30" max="33" width="9.75" style="3" customWidth="1"/>
    <col min="34" max="34" width="11.625" style="3" customWidth="1"/>
    <col min="35" max="35" width="9.125" style="3" customWidth="1"/>
    <col min="36" max="36" width="7.375" style="3" customWidth="1"/>
    <col min="37" max="37" width="14.625" style="3" customWidth="1"/>
    <col min="38" max="38" width="12.375" style="3" customWidth="1"/>
    <col min="39" max="39" width="12.125" style="3" customWidth="1"/>
    <col min="40" max="40" width="10" style="3" customWidth="1"/>
    <col min="41" max="41" width="9.75" style="3" customWidth="1"/>
    <col min="42" max="42" width="8.25" style="3" customWidth="1"/>
    <col min="43" max="44" width="11.5" style="3" customWidth="1"/>
    <col min="45" max="45" width="12.125" style="3" customWidth="1"/>
    <col min="46" max="46" width="21" style="7" customWidth="1"/>
    <col min="47" max="52" width="9.125" style="3"/>
    <col min="53" max="53" width="22.125" style="7" customWidth="1"/>
    <col min="54" max="54" width="22.875" style="3" customWidth="1"/>
    <col min="55" max="55" width="26.875" style="3" customWidth="1"/>
    <col min="56" max="56" width="18.375" style="7" customWidth="1"/>
    <col min="57" max="57" width="12.75" style="3" customWidth="1"/>
    <col min="58" max="58" width="11.125" style="3" customWidth="1"/>
    <col min="59" max="59" width="9.125" style="7"/>
    <col min="60" max="16384" width="9.125" style="3"/>
  </cols>
  <sheetData>
    <row r="1" spans="1:106" s="9" customFormat="1" ht="43.5" customHeight="1">
      <c r="A1" s="8"/>
      <c r="B1" s="8"/>
      <c r="C1" s="8"/>
      <c r="D1" s="8"/>
      <c r="F1" s="8"/>
      <c r="G1" s="8"/>
      <c r="H1" s="8"/>
      <c r="I1" s="8"/>
      <c r="J1" s="8"/>
      <c r="L1" s="56" t="s">
        <v>43</v>
      </c>
      <c r="M1" s="58" t="s">
        <v>44</v>
      </c>
      <c r="N1" s="59" t="s">
        <v>45</v>
      </c>
      <c r="O1" s="11" t="s">
        <v>313</v>
      </c>
      <c r="P1" s="10" t="s">
        <v>314</v>
      </c>
      <c r="Q1" s="10" t="s">
        <v>316</v>
      </c>
      <c r="R1" s="10" t="s">
        <v>317</v>
      </c>
      <c r="S1" s="10" t="s">
        <v>318</v>
      </c>
      <c r="T1" s="10" t="s">
        <v>319</v>
      </c>
      <c r="U1" s="10" t="s">
        <v>320</v>
      </c>
      <c r="V1" s="10" t="s">
        <v>321</v>
      </c>
      <c r="W1" s="10" t="s">
        <v>322</v>
      </c>
      <c r="X1" s="10" t="s">
        <v>323</v>
      </c>
      <c r="Y1" s="10" t="s">
        <v>324</v>
      </c>
      <c r="Z1" s="10" t="s">
        <v>325</v>
      </c>
      <c r="AA1" s="10" t="s">
        <v>326</v>
      </c>
      <c r="AB1" s="10" t="s">
        <v>327</v>
      </c>
      <c r="AC1" s="10" t="s">
        <v>328</v>
      </c>
      <c r="AD1" s="10" t="s">
        <v>330</v>
      </c>
      <c r="AE1" s="10" t="s">
        <v>332</v>
      </c>
      <c r="AF1" s="10" t="s">
        <v>331</v>
      </c>
      <c r="AG1" s="10" t="s">
        <v>333</v>
      </c>
      <c r="AH1" s="10" t="s">
        <v>334</v>
      </c>
      <c r="AI1" s="10" t="s">
        <v>15</v>
      </c>
      <c r="AJ1" s="10" t="s">
        <v>335</v>
      </c>
      <c r="AK1" s="10" t="s">
        <v>336</v>
      </c>
      <c r="AL1" s="10" t="s">
        <v>337</v>
      </c>
      <c r="AM1" s="10" t="s">
        <v>338</v>
      </c>
      <c r="AN1" s="10" t="s">
        <v>339</v>
      </c>
      <c r="AO1" s="10" t="s">
        <v>340</v>
      </c>
      <c r="AP1" s="10" t="s">
        <v>341</v>
      </c>
      <c r="AQ1" s="10" t="s">
        <v>342</v>
      </c>
      <c r="AR1" s="10" t="s">
        <v>343</v>
      </c>
      <c r="AS1" s="10" t="s">
        <v>344</v>
      </c>
    </row>
    <row r="2" spans="1:106" s="2" customFormat="1" ht="51">
      <c r="A2" s="62" t="s">
        <v>18</v>
      </c>
      <c r="B2" s="58" t="s">
        <v>3</v>
      </c>
      <c r="C2" s="58" t="s">
        <v>2</v>
      </c>
      <c r="D2" s="58" t="s">
        <v>0</v>
      </c>
      <c r="E2" s="58" t="s">
        <v>1</v>
      </c>
      <c r="F2" s="58" t="s">
        <v>11</v>
      </c>
      <c r="G2" s="62"/>
      <c r="H2" s="62"/>
      <c r="I2" s="62"/>
      <c r="J2" s="62"/>
      <c r="K2" s="62"/>
      <c r="L2" s="57"/>
      <c r="M2" s="58"/>
      <c r="N2" s="60"/>
      <c r="O2" s="61" t="s">
        <v>315</v>
      </c>
      <c r="P2" s="58"/>
      <c r="Q2" s="58"/>
      <c r="R2" s="58"/>
      <c r="S2" s="53" t="s">
        <v>329</v>
      </c>
      <c r="T2" s="54"/>
      <c r="U2" s="54"/>
      <c r="V2" s="54"/>
      <c r="W2" s="54"/>
      <c r="X2" s="54"/>
      <c r="Y2" s="54"/>
      <c r="Z2" s="54"/>
      <c r="AA2" s="54"/>
      <c r="AB2" s="54"/>
      <c r="AC2" s="55"/>
      <c r="AD2" s="53" t="s">
        <v>345</v>
      </c>
      <c r="AE2" s="54"/>
      <c r="AF2" s="54"/>
      <c r="AG2" s="54"/>
      <c r="AH2" s="54"/>
      <c r="AI2" s="54"/>
      <c r="AJ2" s="54"/>
      <c r="AK2" s="54"/>
      <c r="AL2" s="54"/>
      <c r="AM2" s="54"/>
      <c r="AN2" s="54"/>
      <c r="AO2" s="54"/>
      <c r="AP2" s="54"/>
      <c r="AQ2" s="54"/>
      <c r="AR2" s="54"/>
      <c r="AS2" s="55"/>
      <c r="AT2" s="2" t="s">
        <v>47</v>
      </c>
      <c r="AU2" s="2" t="s">
        <v>48</v>
      </c>
      <c r="AV2" s="2" t="s">
        <v>683</v>
      </c>
      <c r="AW2" s="2" t="s">
        <v>686</v>
      </c>
      <c r="AX2" s="2" t="s">
        <v>689</v>
      </c>
      <c r="AY2" s="2" t="s">
        <v>372</v>
      </c>
      <c r="AZ2" s="2" t="s">
        <v>49</v>
      </c>
      <c r="BA2" s="2" t="s">
        <v>51</v>
      </c>
      <c r="BB2" s="2" t="s">
        <v>52</v>
      </c>
      <c r="BC2" s="2" t="s">
        <v>53</v>
      </c>
      <c r="BD2" s="2" t="s">
        <v>55</v>
      </c>
      <c r="BE2" s="2" t="s">
        <v>56</v>
      </c>
      <c r="BF2" s="2" t="s">
        <v>57</v>
      </c>
    </row>
    <row r="3" spans="1:106" s="5" customFormat="1" hidden="1">
      <c r="A3" s="63"/>
      <c r="B3" s="58"/>
      <c r="C3" s="58"/>
      <c r="D3" s="58"/>
      <c r="E3" s="58"/>
      <c r="F3" s="58"/>
      <c r="G3" s="63"/>
      <c r="H3" s="63"/>
      <c r="I3" s="63"/>
      <c r="J3" s="63"/>
      <c r="K3" s="63"/>
      <c r="L3" s="53" t="s">
        <v>42</v>
      </c>
      <c r="M3" s="54"/>
      <c r="N3" s="54"/>
      <c r="O3" s="64" t="s">
        <v>46</v>
      </c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  <c r="AB3" s="54"/>
      <c r="AC3" s="54"/>
      <c r="AD3" s="54"/>
      <c r="AE3" s="54"/>
      <c r="AF3" s="54"/>
      <c r="AG3" s="54"/>
      <c r="AH3" s="54"/>
      <c r="AI3" s="54"/>
      <c r="AJ3" s="54"/>
      <c r="AK3" s="54"/>
      <c r="AL3" s="54"/>
      <c r="AM3" s="54"/>
      <c r="AN3" s="54"/>
      <c r="AO3" s="54"/>
      <c r="AP3" s="54"/>
      <c r="AQ3" s="54"/>
      <c r="AR3" s="54"/>
      <c r="AS3" s="54"/>
      <c r="AT3" s="65" t="s">
        <v>50</v>
      </c>
      <c r="AU3" s="60"/>
      <c r="AV3" s="60"/>
      <c r="AW3" s="60"/>
      <c r="AX3" s="60"/>
      <c r="AY3" s="60"/>
      <c r="AZ3" s="66"/>
      <c r="BA3" s="54" t="s">
        <v>54</v>
      </c>
      <c r="BB3" s="54"/>
      <c r="BC3" s="55"/>
      <c r="BD3" s="53" t="s">
        <v>58</v>
      </c>
      <c r="BE3" s="54"/>
      <c r="BF3" s="55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</row>
    <row r="4" spans="1:106" ht="42.75" hidden="1">
      <c r="A4" s="4">
        <v>1</v>
      </c>
      <c r="B4" s="4" t="s">
        <v>37</v>
      </c>
      <c r="C4" s="4" t="s">
        <v>7</v>
      </c>
      <c r="D4" s="4">
        <v>2014</v>
      </c>
      <c r="E4" s="1" t="s">
        <v>17</v>
      </c>
      <c r="F4" s="15" t="s">
        <v>64</v>
      </c>
      <c r="G4" s="4"/>
      <c r="L4" s="6" t="s">
        <v>252</v>
      </c>
      <c r="M4" s="4" t="s">
        <v>262</v>
      </c>
      <c r="N4" s="4" t="s">
        <v>263</v>
      </c>
      <c r="O4" s="14" t="s">
        <v>13</v>
      </c>
      <c r="P4" s="4"/>
      <c r="Q4" s="4"/>
      <c r="R4" s="4"/>
      <c r="S4" s="4" t="s">
        <v>13</v>
      </c>
      <c r="T4" s="4"/>
      <c r="U4" s="4"/>
      <c r="V4" s="4"/>
      <c r="W4" s="4"/>
      <c r="X4" s="4"/>
      <c r="Y4" s="4"/>
      <c r="Z4" s="4"/>
      <c r="AA4" s="4"/>
      <c r="AB4" s="4"/>
      <c r="AC4" s="4"/>
      <c r="AD4" s="4" t="s">
        <v>13</v>
      </c>
      <c r="AE4" s="4" t="s">
        <v>13</v>
      </c>
      <c r="AF4" s="4" t="s">
        <v>13</v>
      </c>
      <c r="AG4" s="4" t="s">
        <v>13</v>
      </c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12" t="s">
        <v>347</v>
      </c>
      <c r="AU4" s="4" t="s">
        <v>368</v>
      </c>
      <c r="AV4" s="4" t="s">
        <v>684</v>
      </c>
      <c r="AW4" s="4" t="s">
        <v>687</v>
      </c>
      <c r="AX4" s="4" t="s">
        <v>690</v>
      </c>
      <c r="AY4" s="4" t="s">
        <v>371</v>
      </c>
      <c r="AZ4" s="13" t="s">
        <v>14</v>
      </c>
      <c r="BA4" s="4" t="s">
        <v>268</v>
      </c>
      <c r="BB4" s="4" t="s">
        <v>375</v>
      </c>
      <c r="BC4" s="15" t="s">
        <v>268</v>
      </c>
      <c r="BD4" s="4">
        <v>4</v>
      </c>
      <c r="BE4" s="4" t="s">
        <v>454</v>
      </c>
      <c r="BF4" s="15" t="s">
        <v>454</v>
      </c>
      <c r="BG4" s="3"/>
    </row>
    <row r="5" spans="1:106" ht="44.25" customHeight="1">
      <c r="A5" s="4">
        <v>2</v>
      </c>
      <c r="B5" s="4" t="s">
        <v>37</v>
      </c>
      <c r="C5" s="4" t="s">
        <v>7</v>
      </c>
      <c r="D5" s="4">
        <v>2014</v>
      </c>
      <c r="E5" s="1" t="s">
        <v>19</v>
      </c>
      <c r="F5" s="13" t="s">
        <v>64</v>
      </c>
      <c r="G5" s="4"/>
      <c r="L5" s="6" t="s">
        <v>252</v>
      </c>
      <c r="M5" s="4" t="s">
        <v>262</v>
      </c>
      <c r="N5" s="13" t="s">
        <v>263</v>
      </c>
      <c r="O5" s="4"/>
      <c r="P5" s="4"/>
      <c r="Q5" s="4"/>
      <c r="R5" s="4"/>
      <c r="S5" s="4" t="s">
        <v>13</v>
      </c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12" t="s">
        <v>347</v>
      </c>
      <c r="AU5" s="4" t="s">
        <v>368</v>
      </c>
      <c r="AV5" s="4" t="s">
        <v>685</v>
      </c>
      <c r="AW5" s="4" t="s">
        <v>688</v>
      </c>
      <c r="AX5" s="4" t="s">
        <v>691</v>
      </c>
      <c r="AY5" s="4" t="s">
        <v>371</v>
      </c>
      <c r="AZ5" s="13" t="s">
        <v>14</v>
      </c>
      <c r="BA5" s="4" t="s">
        <v>268</v>
      </c>
      <c r="BB5" s="4" t="s">
        <v>375</v>
      </c>
      <c r="BC5" s="13" t="s">
        <v>268</v>
      </c>
      <c r="BD5" s="4">
        <v>1</v>
      </c>
      <c r="BE5" s="4" t="s">
        <v>455</v>
      </c>
      <c r="BF5" s="13" t="s">
        <v>456</v>
      </c>
      <c r="BG5" s="3"/>
    </row>
    <row r="6" spans="1:106" ht="42.75" hidden="1">
      <c r="A6" s="4">
        <v>3</v>
      </c>
      <c r="B6" s="4" t="s">
        <v>37</v>
      </c>
      <c r="C6" s="4" t="s">
        <v>7</v>
      </c>
      <c r="D6" s="4">
        <v>2014</v>
      </c>
      <c r="E6" s="1" t="s">
        <v>20</v>
      </c>
      <c r="F6" s="13" t="s">
        <v>64</v>
      </c>
      <c r="G6" s="4"/>
      <c r="L6" s="6" t="s">
        <v>252</v>
      </c>
      <c r="M6" s="4" t="s">
        <v>262</v>
      </c>
      <c r="N6" s="13" t="s">
        <v>263</v>
      </c>
      <c r="O6" s="4"/>
      <c r="P6" s="4"/>
      <c r="Q6" s="4"/>
      <c r="R6" s="4"/>
      <c r="S6" s="4" t="s">
        <v>13</v>
      </c>
      <c r="T6" s="4" t="s">
        <v>13</v>
      </c>
      <c r="U6" s="4"/>
      <c r="V6" s="4"/>
      <c r="W6" s="4"/>
      <c r="X6" s="4"/>
      <c r="Y6" s="4"/>
      <c r="Z6" s="4"/>
      <c r="AA6" s="4"/>
      <c r="AB6" s="4"/>
      <c r="AC6" s="4"/>
      <c r="AD6" s="4" t="s">
        <v>13</v>
      </c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12" t="s">
        <v>347</v>
      </c>
      <c r="AU6" s="4" t="s">
        <v>368</v>
      </c>
      <c r="AV6" s="4" t="s">
        <v>684</v>
      </c>
      <c r="AW6" s="4" t="s">
        <v>687</v>
      </c>
      <c r="AX6" s="4" t="s">
        <v>690</v>
      </c>
      <c r="AY6" s="4" t="s">
        <v>371</v>
      </c>
      <c r="AZ6" s="13" t="s">
        <v>14</v>
      </c>
      <c r="BA6" s="4" t="s">
        <v>268</v>
      </c>
      <c r="BB6" s="4" t="s">
        <v>375</v>
      </c>
      <c r="BC6" s="13" t="s">
        <v>268</v>
      </c>
      <c r="BD6" s="4">
        <v>1</v>
      </c>
      <c r="BE6" s="4" t="s">
        <v>457</v>
      </c>
      <c r="BF6" s="13" t="s">
        <v>456</v>
      </c>
      <c r="BG6" s="3"/>
    </row>
    <row r="7" spans="1:106" ht="42.75" hidden="1">
      <c r="A7" s="4">
        <v>4</v>
      </c>
      <c r="B7" s="4" t="s">
        <v>37</v>
      </c>
      <c r="C7" s="4" t="s">
        <v>7</v>
      </c>
      <c r="D7" s="4">
        <v>2014</v>
      </c>
      <c r="E7" s="1" t="s">
        <v>21</v>
      </c>
      <c r="F7" s="13" t="s">
        <v>64</v>
      </c>
      <c r="G7" s="4"/>
      <c r="L7" s="6" t="s">
        <v>252</v>
      </c>
      <c r="M7" s="4" t="s">
        <v>262</v>
      </c>
      <c r="N7" s="13" t="s">
        <v>263</v>
      </c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12" t="s">
        <v>347</v>
      </c>
      <c r="AU7" s="4" t="s">
        <v>368</v>
      </c>
      <c r="AV7" s="4" t="s">
        <v>684</v>
      </c>
      <c r="AW7" s="4" t="s">
        <v>687</v>
      </c>
      <c r="AX7" s="4" t="s">
        <v>690</v>
      </c>
      <c r="AY7" s="4" t="s">
        <v>371</v>
      </c>
      <c r="AZ7" s="13" t="s">
        <v>14</v>
      </c>
      <c r="BA7" s="4" t="s">
        <v>268</v>
      </c>
      <c r="BB7" s="4" t="s">
        <v>375</v>
      </c>
      <c r="BC7" s="13" t="s">
        <v>268</v>
      </c>
      <c r="BD7" s="4">
        <v>3</v>
      </c>
      <c r="BE7" s="4" t="s">
        <v>454</v>
      </c>
      <c r="BF7" s="13" t="s">
        <v>456</v>
      </c>
      <c r="BG7" s="3"/>
    </row>
    <row r="8" spans="1:106" ht="42.75" hidden="1">
      <c r="A8" s="4">
        <v>5</v>
      </c>
      <c r="B8" s="4" t="s">
        <v>37</v>
      </c>
      <c r="C8" s="4" t="s">
        <v>7</v>
      </c>
      <c r="D8" s="4">
        <v>2014</v>
      </c>
      <c r="E8" s="1" t="s">
        <v>22</v>
      </c>
      <c r="F8" s="13" t="s">
        <v>64</v>
      </c>
      <c r="G8" s="4"/>
      <c r="L8" s="6" t="s">
        <v>252</v>
      </c>
      <c r="M8" s="4" t="s">
        <v>262</v>
      </c>
      <c r="N8" s="13" t="s">
        <v>263</v>
      </c>
      <c r="O8" s="4" t="s">
        <v>13</v>
      </c>
      <c r="P8" s="4"/>
      <c r="Q8" s="4"/>
      <c r="R8" s="4"/>
      <c r="S8" s="4" t="s">
        <v>13</v>
      </c>
      <c r="T8" s="4"/>
      <c r="U8" s="4"/>
      <c r="V8" s="4"/>
      <c r="W8" s="4"/>
      <c r="X8" s="4"/>
      <c r="Y8" s="4"/>
      <c r="Z8" s="4"/>
      <c r="AA8" s="4"/>
      <c r="AB8" s="4"/>
      <c r="AC8" s="4"/>
      <c r="AD8" s="4" t="s">
        <v>13</v>
      </c>
      <c r="AE8" s="4"/>
      <c r="AF8" s="4" t="s">
        <v>13</v>
      </c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12" t="s">
        <v>347</v>
      </c>
      <c r="AU8" s="4" t="s">
        <v>368</v>
      </c>
      <c r="AV8" s="4" t="s">
        <v>684</v>
      </c>
      <c r="AW8" s="4" t="s">
        <v>687</v>
      </c>
      <c r="AX8" s="4" t="s">
        <v>690</v>
      </c>
      <c r="AY8" s="4" t="s">
        <v>371</v>
      </c>
      <c r="AZ8" s="13" t="s">
        <v>14</v>
      </c>
      <c r="BA8" s="4" t="s">
        <v>268</v>
      </c>
      <c r="BB8" s="4" t="s">
        <v>375</v>
      </c>
      <c r="BC8" s="13" t="s">
        <v>268</v>
      </c>
      <c r="BD8" s="4">
        <v>2</v>
      </c>
      <c r="BE8" s="4" t="s">
        <v>457</v>
      </c>
      <c r="BF8" s="13" t="s">
        <v>456</v>
      </c>
      <c r="BG8" s="3"/>
    </row>
    <row r="9" spans="1:106" ht="42.75" hidden="1">
      <c r="A9" s="4">
        <v>6</v>
      </c>
      <c r="B9" s="4" t="s">
        <v>37</v>
      </c>
      <c r="C9" s="4" t="s">
        <v>7</v>
      </c>
      <c r="D9" s="4">
        <v>2014</v>
      </c>
      <c r="E9" s="1" t="s">
        <v>23</v>
      </c>
      <c r="F9" s="13" t="s">
        <v>64</v>
      </c>
      <c r="G9" s="4"/>
      <c r="L9" s="6" t="s">
        <v>252</v>
      </c>
      <c r="M9" s="4" t="s">
        <v>262</v>
      </c>
      <c r="N9" s="13" t="s">
        <v>263</v>
      </c>
      <c r="O9" s="4" t="s">
        <v>13</v>
      </c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 t="s">
        <v>13</v>
      </c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12" t="s">
        <v>347</v>
      </c>
      <c r="AU9" s="4" t="s">
        <v>368</v>
      </c>
      <c r="AV9" s="4" t="s">
        <v>684</v>
      </c>
      <c r="AW9" s="4" t="s">
        <v>687</v>
      </c>
      <c r="AX9" s="4" t="s">
        <v>690</v>
      </c>
      <c r="AY9" s="4" t="s">
        <v>371</v>
      </c>
      <c r="AZ9" s="13" t="s">
        <v>14</v>
      </c>
      <c r="BA9" s="4" t="s">
        <v>268</v>
      </c>
      <c r="BB9" s="4" t="s">
        <v>375</v>
      </c>
      <c r="BC9" s="13" t="s">
        <v>268</v>
      </c>
      <c r="BD9" s="4">
        <v>2</v>
      </c>
      <c r="BE9" s="4" t="s">
        <v>457</v>
      </c>
      <c r="BF9" s="13" t="s">
        <v>456</v>
      </c>
      <c r="BG9" s="3"/>
    </row>
    <row r="10" spans="1:106" ht="42.75" hidden="1">
      <c r="A10" s="4">
        <v>7</v>
      </c>
      <c r="B10" s="4" t="s">
        <v>37</v>
      </c>
      <c r="C10" s="4" t="s">
        <v>7</v>
      </c>
      <c r="D10" s="4">
        <v>2014</v>
      </c>
      <c r="E10" s="1" t="s">
        <v>24</v>
      </c>
      <c r="F10" s="13" t="s">
        <v>64</v>
      </c>
      <c r="G10" s="4"/>
      <c r="L10" s="6" t="s">
        <v>252</v>
      </c>
      <c r="M10" s="4" t="s">
        <v>262</v>
      </c>
      <c r="N10" s="13" t="s">
        <v>263</v>
      </c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 t="s">
        <v>13</v>
      </c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12" t="s">
        <v>347</v>
      </c>
      <c r="AU10" s="4" t="s">
        <v>368</v>
      </c>
      <c r="AV10" s="4" t="s">
        <v>684</v>
      </c>
      <c r="AW10" s="4" t="s">
        <v>687</v>
      </c>
      <c r="AX10" s="4" t="s">
        <v>690</v>
      </c>
      <c r="AY10" s="4" t="s">
        <v>371</v>
      </c>
      <c r="AZ10" s="13" t="s">
        <v>14</v>
      </c>
      <c r="BA10" s="4" t="s">
        <v>268</v>
      </c>
      <c r="BB10" s="4" t="s">
        <v>375</v>
      </c>
      <c r="BC10" s="13" t="s">
        <v>268</v>
      </c>
      <c r="BD10" s="4">
        <v>2</v>
      </c>
      <c r="BE10" s="4" t="s">
        <v>457</v>
      </c>
      <c r="BF10" s="13" t="s">
        <v>456</v>
      </c>
      <c r="BG10" s="3"/>
    </row>
    <row r="11" spans="1:106" ht="42.75" hidden="1">
      <c r="A11" s="4">
        <v>8</v>
      </c>
      <c r="B11" s="4" t="s">
        <v>37</v>
      </c>
      <c r="C11" s="4" t="s">
        <v>7</v>
      </c>
      <c r="D11" s="4">
        <v>2014</v>
      </c>
      <c r="E11" s="1" t="s">
        <v>25</v>
      </c>
      <c r="F11" s="13" t="s">
        <v>64</v>
      </c>
      <c r="G11" s="4"/>
      <c r="L11" s="6" t="s">
        <v>252</v>
      </c>
      <c r="M11" s="4" t="s">
        <v>262</v>
      </c>
      <c r="N11" s="13" t="s">
        <v>263</v>
      </c>
      <c r="O11" s="4"/>
      <c r="P11" s="4"/>
      <c r="Q11" s="4"/>
      <c r="R11" s="4"/>
      <c r="S11" s="4" t="s">
        <v>13</v>
      </c>
      <c r="T11" s="4"/>
      <c r="U11" s="4"/>
      <c r="V11" s="4"/>
      <c r="W11" s="4"/>
      <c r="X11" s="4"/>
      <c r="Y11" s="4"/>
      <c r="Z11" s="4"/>
      <c r="AA11" s="4"/>
      <c r="AB11" s="4"/>
      <c r="AC11" s="4"/>
      <c r="AD11" s="4" t="s">
        <v>13</v>
      </c>
      <c r="AE11" s="4"/>
      <c r="AF11" s="4" t="s">
        <v>13</v>
      </c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12" t="s">
        <v>347</v>
      </c>
      <c r="AU11" s="4" t="s">
        <v>368</v>
      </c>
      <c r="AV11" s="4" t="s">
        <v>684</v>
      </c>
      <c r="AW11" s="4" t="s">
        <v>687</v>
      </c>
      <c r="AX11" s="4" t="s">
        <v>690</v>
      </c>
      <c r="AY11" s="4" t="s">
        <v>371</v>
      </c>
      <c r="AZ11" s="13" t="s">
        <v>14</v>
      </c>
      <c r="BA11" s="4" t="s">
        <v>268</v>
      </c>
      <c r="BB11" s="4" t="s">
        <v>375</v>
      </c>
      <c r="BC11" s="13" t="s">
        <v>268</v>
      </c>
      <c r="BD11" s="4">
        <v>3</v>
      </c>
      <c r="BE11" s="4" t="s">
        <v>457</v>
      </c>
      <c r="BF11" s="13" t="s">
        <v>456</v>
      </c>
      <c r="BG11" s="3"/>
    </row>
    <row r="12" spans="1:106" ht="42.75" hidden="1">
      <c r="A12" s="4">
        <v>9</v>
      </c>
      <c r="B12" s="4" t="s">
        <v>37</v>
      </c>
      <c r="C12" s="4" t="s">
        <v>7</v>
      </c>
      <c r="D12" s="4">
        <v>2014</v>
      </c>
      <c r="E12" s="1" t="s">
        <v>26</v>
      </c>
      <c r="F12" s="13" t="s">
        <v>64</v>
      </c>
      <c r="G12" s="4"/>
      <c r="L12" s="6" t="s">
        <v>252</v>
      </c>
      <c r="M12" s="4" t="s">
        <v>262</v>
      </c>
      <c r="N12" s="13" t="s">
        <v>263</v>
      </c>
      <c r="O12" s="4" t="s">
        <v>13</v>
      </c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 t="s">
        <v>13</v>
      </c>
      <c r="AE12" s="4"/>
      <c r="AF12" s="4" t="s">
        <v>13</v>
      </c>
      <c r="AG12" s="4" t="s">
        <v>13</v>
      </c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12" t="s">
        <v>347</v>
      </c>
      <c r="AU12" s="4" t="s">
        <v>368</v>
      </c>
      <c r="AV12" s="4" t="s">
        <v>684</v>
      </c>
      <c r="AW12" s="4" t="s">
        <v>687</v>
      </c>
      <c r="AX12" s="4" t="s">
        <v>690</v>
      </c>
      <c r="AY12" s="4" t="s">
        <v>371</v>
      </c>
      <c r="AZ12" s="13" t="s">
        <v>14</v>
      </c>
      <c r="BA12" s="4" t="s">
        <v>268</v>
      </c>
      <c r="BB12" s="4" t="s">
        <v>375</v>
      </c>
      <c r="BC12" s="13" t="s">
        <v>268</v>
      </c>
      <c r="BD12" s="4">
        <v>2</v>
      </c>
      <c r="BE12" s="4" t="s">
        <v>457</v>
      </c>
      <c r="BF12" s="13" t="s">
        <v>456</v>
      </c>
      <c r="BG12" s="3"/>
    </row>
    <row r="13" spans="1:106" ht="42.75" hidden="1">
      <c r="A13" s="4">
        <v>10</v>
      </c>
      <c r="B13" s="4" t="s">
        <v>37</v>
      </c>
      <c r="C13" s="4" t="s">
        <v>7</v>
      </c>
      <c r="D13" s="4">
        <v>2014</v>
      </c>
      <c r="E13" s="1" t="s">
        <v>27</v>
      </c>
      <c r="F13" s="13" t="s">
        <v>64</v>
      </c>
      <c r="G13" s="4"/>
      <c r="L13" s="6" t="s">
        <v>252</v>
      </c>
      <c r="M13" s="4" t="s">
        <v>262</v>
      </c>
      <c r="N13" s="13" t="s">
        <v>263</v>
      </c>
      <c r="O13" s="4"/>
      <c r="P13" s="4"/>
      <c r="Q13" s="4"/>
      <c r="R13" s="4"/>
      <c r="S13" s="4" t="s">
        <v>13</v>
      </c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 t="s">
        <v>13</v>
      </c>
      <c r="AG13" s="4" t="s">
        <v>13</v>
      </c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12" t="s">
        <v>347</v>
      </c>
      <c r="AU13" s="4" t="s">
        <v>368</v>
      </c>
      <c r="AV13" s="4" t="s">
        <v>684</v>
      </c>
      <c r="AW13" s="4" t="s">
        <v>687</v>
      </c>
      <c r="AX13" s="4" t="s">
        <v>690</v>
      </c>
      <c r="AY13" s="4" t="s">
        <v>371</v>
      </c>
      <c r="AZ13" s="13" t="s">
        <v>14</v>
      </c>
      <c r="BA13" s="4" t="s">
        <v>268</v>
      </c>
      <c r="BB13" s="4" t="s">
        <v>375</v>
      </c>
      <c r="BC13" s="13" t="s">
        <v>268</v>
      </c>
      <c r="BD13" s="4">
        <v>4</v>
      </c>
      <c r="BE13" s="4" t="s">
        <v>454</v>
      </c>
      <c r="BF13" s="13" t="s">
        <v>457</v>
      </c>
      <c r="BG13" s="3"/>
    </row>
    <row r="14" spans="1:106" ht="42.75" hidden="1">
      <c r="A14" s="4">
        <v>11</v>
      </c>
      <c r="B14" s="4" t="s">
        <v>37</v>
      </c>
      <c r="C14" s="4" t="s">
        <v>7</v>
      </c>
      <c r="D14" s="4">
        <v>2014</v>
      </c>
      <c r="E14" s="1" t="s">
        <v>28</v>
      </c>
      <c r="F14" s="13" t="s">
        <v>64</v>
      </c>
      <c r="G14" s="4"/>
      <c r="L14" s="6" t="s">
        <v>252</v>
      </c>
      <c r="M14" s="4" t="s">
        <v>262</v>
      </c>
      <c r="N14" s="13" t="s">
        <v>263</v>
      </c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 t="s">
        <v>13</v>
      </c>
      <c r="AE14" s="4"/>
      <c r="AF14" s="4" t="s">
        <v>13</v>
      </c>
      <c r="AG14" s="4" t="s">
        <v>13</v>
      </c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12" t="s">
        <v>347</v>
      </c>
      <c r="AU14" s="4" t="s">
        <v>368</v>
      </c>
      <c r="AV14" s="4" t="s">
        <v>684</v>
      </c>
      <c r="AW14" s="4" t="s">
        <v>687</v>
      </c>
      <c r="AX14" s="4" t="s">
        <v>690</v>
      </c>
      <c r="AY14" s="4" t="s">
        <v>371</v>
      </c>
      <c r="AZ14" s="13" t="s">
        <v>14</v>
      </c>
      <c r="BA14" s="4" t="s">
        <v>268</v>
      </c>
      <c r="BB14" s="4" t="s">
        <v>375</v>
      </c>
      <c r="BC14" s="13" t="s">
        <v>268</v>
      </c>
      <c r="BD14" s="4">
        <v>3</v>
      </c>
      <c r="BE14" s="4" t="s">
        <v>457</v>
      </c>
      <c r="BF14" s="13" t="s">
        <v>457</v>
      </c>
      <c r="BG14" s="3"/>
    </row>
    <row r="15" spans="1:106" ht="28.5" hidden="1">
      <c r="A15" s="4">
        <v>12</v>
      </c>
      <c r="B15" s="4" t="s">
        <v>37</v>
      </c>
      <c r="C15" s="4" t="s">
        <v>7</v>
      </c>
      <c r="D15" s="4">
        <v>2014</v>
      </c>
      <c r="E15" s="1" t="s">
        <v>29</v>
      </c>
      <c r="F15" s="13" t="s">
        <v>64</v>
      </c>
      <c r="G15" s="4"/>
      <c r="L15" s="6" t="s">
        <v>252</v>
      </c>
      <c r="M15" s="4" t="s">
        <v>264</v>
      </c>
      <c r="N15" s="13" t="s">
        <v>263</v>
      </c>
      <c r="O15" s="4" t="s">
        <v>13</v>
      </c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 t="s">
        <v>13</v>
      </c>
      <c r="AE15" s="4"/>
      <c r="AF15" s="4"/>
      <c r="AG15" s="4"/>
      <c r="AH15" s="4"/>
      <c r="AI15" s="4" t="s">
        <v>13</v>
      </c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12" t="s">
        <v>348</v>
      </c>
      <c r="AU15" s="4" t="s">
        <v>369</v>
      </c>
      <c r="AV15" s="4" t="s">
        <v>684</v>
      </c>
      <c r="AW15" s="4" t="s">
        <v>687</v>
      </c>
      <c r="AX15" s="4" t="s">
        <v>690</v>
      </c>
      <c r="AY15" s="4" t="s">
        <v>371</v>
      </c>
      <c r="AZ15" s="13" t="s">
        <v>14</v>
      </c>
      <c r="BA15" s="4" t="s">
        <v>268</v>
      </c>
      <c r="BB15" s="4" t="s">
        <v>376</v>
      </c>
      <c r="BC15" s="13" t="s">
        <v>377</v>
      </c>
      <c r="BD15" s="4">
        <v>4</v>
      </c>
      <c r="BE15" s="4" t="s">
        <v>455</v>
      </c>
      <c r="BF15" s="13" t="s">
        <v>457</v>
      </c>
      <c r="BG15" s="3"/>
    </row>
    <row r="16" spans="1:106" ht="28.5" hidden="1">
      <c r="A16" s="4">
        <v>13</v>
      </c>
      <c r="B16" s="4" t="s">
        <v>37</v>
      </c>
      <c r="C16" s="4" t="s">
        <v>7</v>
      </c>
      <c r="D16" s="4">
        <v>2014</v>
      </c>
      <c r="E16" s="1" t="s">
        <v>30</v>
      </c>
      <c r="F16" s="13" t="s">
        <v>64</v>
      </c>
      <c r="G16" s="4"/>
      <c r="L16" s="6" t="s">
        <v>252</v>
      </c>
      <c r="M16" s="4" t="s">
        <v>264</v>
      </c>
      <c r="N16" s="13" t="s">
        <v>263</v>
      </c>
      <c r="O16" s="4" t="s">
        <v>13</v>
      </c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 t="s">
        <v>13</v>
      </c>
      <c r="AE16" s="4"/>
      <c r="AF16" s="4"/>
      <c r="AG16" s="4"/>
      <c r="AH16" s="4"/>
      <c r="AI16" s="4" t="s">
        <v>13</v>
      </c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12" t="s">
        <v>348</v>
      </c>
      <c r="AU16" s="4" t="s">
        <v>369</v>
      </c>
      <c r="AV16" s="4" t="s">
        <v>684</v>
      </c>
      <c r="AW16" s="4" t="s">
        <v>687</v>
      </c>
      <c r="AX16" s="4" t="s">
        <v>690</v>
      </c>
      <c r="AY16" s="4" t="s">
        <v>371</v>
      </c>
      <c r="AZ16" s="13" t="s">
        <v>14</v>
      </c>
      <c r="BA16" s="4" t="s">
        <v>268</v>
      </c>
      <c r="BB16" s="4" t="s">
        <v>376</v>
      </c>
      <c r="BC16" s="13" t="s">
        <v>377</v>
      </c>
      <c r="BD16" s="4">
        <v>2</v>
      </c>
      <c r="BE16" s="4" t="s">
        <v>455</v>
      </c>
      <c r="BF16" s="13" t="s">
        <v>457</v>
      </c>
      <c r="BG16" s="3"/>
    </row>
    <row r="17" spans="1:59" ht="28.5" hidden="1">
      <c r="A17" s="4">
        <v>14</v>
      </c>
      <c r="B17" s="4" t="s">
        <v>37</v>
      </c>
      <c r="C17" s="4" t="s">
        <v>7</v>
      </c>
      <c r="D17" s="4">
        <v>2014</v>
      </c>
      <c r="E17" s="1" t="s">
        <v>31</v>
      </c>
      <c r="F17" s="13" t="s">
        <v>64</v>
      </c>
      <c r="G17" s="4"/>
      <c r="L17" s="6" t="s">
        <v>252</v>
      </c>
      <c r="M17" s="4" t="s">
        <v>264</v>
      </c>
      <c r="N17" s="13" t="s">
        <v>263</v>
      </c>
      <c r="O17" s="4"/>
      <c r="P17" s="4"/>
      <c r="Q17" s="4"/>
      <c r="R17" s="4"/>
      <c r="S17" s="4"/>
      <c r="T17" s="4"/>
      <c r="U17" s="4" t="s">
        <v>13</v>
      </c>
      <c r="V17" s="4"/>
      <c r="W17" s="4"/>
      <c r="X17" s="4"/>
      <c r="Y17" s="4"/>
      <c r="Z17" s="4"/>
      <c r="AA17" s="4"/>
      <c r="AB17" s="4"/>
      <c r="AC17" s="4"/>
      <c r="AD17" s="4" t="s">
        <v>13</v>
      </c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12" t="s">
        <v>348</v>
      </c>
      <c r="AU17" s="4" t="s">
        <v>369</v>
      </c>
      <c r="AV17" s="4" t="s">
        <v>684</v>
      </c>
      <c r="AW17" s="4" t="s">
        <v>687</v>
      </c>
      <c r="AX17" s="4" t="s">
        <v>690</v>
      </c>
      <c r="AY17" s="4" t="s">
        <v>371</v>
      </c>
      <c r="AZ17" s="13" t="s">
        <v>14</v>
      </c>
      <c r="BA17" s="4" t="s">
        <v>268</v>
      </c>
      <c r="BB17" s="4" t="s">
        <v>376</v>
      </c>
      <c r="BC17" s="13" t="s">
        <v>377</v>
      </c>
      <c r="BD17" s="4">
        <v>3</v>
      </c>
      <c r="BE17" s="4" t="s">
        <v>455</v>
      </c>
      <c r="BF17" s="13" t="s">
        <v>457</v>
      </c>
      <c r="BG17" s="3"/>
    </row>
    <row r="18" spans="1:59" ht="28.5" hidden="1">
      <c r="A18" s="4">
        <v>15</v>
      </c>
      <c r="B18" s="4" t="s">
        <v>37</v>
      </c>
      <c r="C18" s="4" t="s">
        <v>7</v>
      </c>
      <c r="D18" s="4">
        <v>2014</v>
      </c>
      <c r="E18" s="1" t="s">
        <v>32</v>
      </c>
      <c r="F18" s="13" t="s">
        <v>64</v>
      </c>
      <c r="G18" s="4"/>
      <c r="L18" s="6" t="s">
        <v>252</v>
      </c>
      <c r="M18" s="4" t="s">
        <v>264</v>
      </c>
      <c r="N18" s="13" t="s">
        <v>263</v>
      </c>
      <c r="O18" s="4" t="s">
        <v>13</v>
      </c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 t="s">
        <v>13</v>
      </c>
      <c r="AE18" s="4"/>
      <c r="AF18" s="4"/>
      <c r="AG18" s="4"/>
      <c r="AH18" s="4"/>
      <c r="AI18" s="4" t="s">
        <v>13</v>
      </c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12" t="s">
        <v>348</v>
      </c>
      <c r="AU18" s="4" t="s">
        <v>369</v>
      </c>
      <c r="AV18" s="4" t="s">
        <v>684</v>
      </c>
      <c r="AW18" s="4" t="s">
        <v>687</v>
      </c>
      <c r="AX18" s="4" t="s">
        <v>690</v>
      </c>
      <c r="AY18" s="4" t="s">
        <v>371</v>
      </c>
      <c r="AZ18" s="13" t="s">
        <v>14</v>
      </c>
      <c r="BA18" s="4" t="s">
        <v>268</v>
      </c>
      <c r="BB18" s="4" t="s">
        <v>376</v>
      </c>
      <c r="BC18" s="13" t="s">
        <v>377</v>
      </c>
      <c r="BD18" s="4">
        <v>2</v>
      </c>
      <c r="BE18" s="4" t="s">
        <v>454</v>
      </c>
      <c r="BF18" s="13" t="s">
        <v>457</v>
      </c>
      <c r="BG18" s="3"/>
    </row>
    <row r="19" spans="1:59" ht="28.5" hidden="1">
      <c r="A19" s="4">
        <v>16</v>
      </c>
      <c r="B19" s="4" t="s">
        <v>37</v>
      </c>
      <c r="C19" s="4" t="s">
        <v>7</v>
      </c>
      <c r="D19" s="4">
        <v>2014</v>
      </c>
      <c r="E19" s="1" t="s">
        <v>33</v>
      </c>
      <c r="F19" s="13" t="s">
        <v>64</v>
      </c>
      <c r="G19" s="4"/>
      <c r="L19" s="6" t="s">
        <v>252</v>
      </c>
      <c r="M19" s="4" t="s">
        <v>264</v>
      </c>
      <c r="N19" s="13" t="s">
        <v>263</v>
      </c>
      <c r="O19" s="4" t="s">
        <v>13</v>
      </c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 t="s">
        <v>13</v>
      </c>
      <c r="AE19" s="4"/>
      <c r="AF19" s="4"/>
      <c r="AG19" s="4"/>
      <c r="AH19" s="4"/>
      <c r="AI19" s="4" t="s">
        <v>13</v>
      </c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12" t="s">
        <v>348</v>
      </c>
      <c r="AU19" s="4" t="s">
        <v>369</v>
      </c>
      <c r="AV19" s="4" t="s">
        <v>684</v>
      </c>
      <c r="AW19" s="4" t="s">
        <v>687</v>
      </c>
      <c r="AX19" s="4" t="s">
        <v>690</v>
      </c>
      <c r="AY19" s="4" t="s">
        <v>371</v>
      </c>
      <c r="AZ19" s="13" t="s">
        <v>14</v>
      </c>
      <c r="BA19" s="4" t="s">
        <v>268</v>
      </c>
      <c r="BB19" s="4" t="s">
        <v>376</v>
      </c>
      <c r="BC19" s="13" t="s">
        <v>377</v>
      </c>
      <c r="BD19" s="4">
        <v>3</v>
      </c>
      <c r="BE19" s="4" t="s">
        <v>455</v>
      </c>
      <c r="BF19" s="13" t="s">
        <v>457</v>
      </c>
      <c r="BG19" s="3"/>
    </row>
    <row r="20" spans="1:59" ht="28.5" hidden="1">
      <c r="A20" s="4">
        <v>17</v>
      </c>
      <c r="B20" s="4" t="s">
        <v>37</v>
      </c>
      <c r="C20" s="4" t="s">
        <v>7</v>
      </c>
      <c r="D20" s="4">
        <v>2014</v>
      </c>
      <c r="E20" s="1" t="s">
        <v>34</v>
      </c>
      <c r="F20" s="13" t="s">
        <v>64</v>
      </c>
      <c r="G20" s="4"/>
      <c r="L20" s="6" t="s">
        <v>252</v>
      </c>
      <c r="M20" s="4" t="s">
        <v>264</v>
      </c>
      <c r="N20" s="13" t="s">
        <v>263</v>
      </c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 t="s">
        <v>13</v>
      </c>
      <c r="AE20" s="4"/>
      <c r="AF20" s="4"/>
      <c r="AG20" s="4"/>
      <c r="AH20" s="4"/>
      <c r="AI20" s="4" t="s">
        <v>13</v>
      </c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12" t="s">
        <v>348</v>
      </c>
      <c r="AU20" s="4" t="s">
        <v>369</v>
      </c>
      <c r="AV20" s="4" t="s">
        <v>684</v>
      </c>
      <c r="AW20" s="4" t="s">
        <v>687</v>
      </c>
      <c r="AX20" s="4" t="s">
        <v>690</v>
      </c>
      <c r="AY20" s="4" t="s">
        <v>371</v>
      </c>
      <c r="AZ20" s="13" t="s">
        <v>14</v>
      </c>
      <c r="BA20" s="4" t="s">
        <v>268</v>
      </c>
      <c r="BB20" s="4" t="s">
        <v>376</v>
      </c>
      <c r="BC20" s="13" t="s">
        <v>377</v>
      </c>
      <c r="BD20" s="4">
        <v>3</v>
      </c>
      <c r="BE20" s="4" t="s">
        <v>454</v>
      </c>
      <c r="BF20" s="13" t="s">
        <v>457</v>
      </c>
      <c r="BG20" s="3"/>
    </row>
    <row r="21" spans="1:59" ht="28.5" hidden="1">
      <c r="A21" s="4">
        <v>18</v>
      </c>
      <c r="B21" s="4" t="s">
        <v>37</v>
      </c>
      <c r="C21" s="4" t="s">
        <v>7</v>
      </c>
      <c r="D21" s="4">
        <v>2014</v>
      </c>
      <c r="E21" s="1" t="s">
        <v>35</v>
      </c>
      <c r="F21" s="13" t="s">
        <v>64</v>
      </c>
      <c r="G21" s="4"/>
      <c r="L21" s="6" t="s">
        <v>252</v>
      </c>
      <c r="M21" s="4" t="s">
        <v>264</v>
      </c>
      <c r="N21" s="13" t="s">
        <v>263</v>
      </c>
      <c r="O21" s="4" t="s">
        <v>13</v>
      </c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 t="s">
        <v>13</v>
      </c>
      <c r="AE21" s="4"/>
      <c r="AF21" s="4"/>
      <c r="AG21" s="4"/>
      <c r="AH21" s="4"/>
      <c r="AI21" s="4" t="s">
        <v>13</v>
      </c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12" t="s">
        <v>348</v>
      </c>
      <c r="AU21" s="4" t="s">
        <v>369</v>
      </c>
      <c r="AV21" s="4" t="s">
        <v>684</v>
      </c>
      <c r="AW21" s="4" t="s">
        <v>687</v>
      </c>
      <c r="AX21" s="4" t="s">
        <v>690</v>
      </c>
      <c r="AY21" s="4" t="s">
        <v>371</v>
      </c>
      <c r="AZ21" s="13" t="s">
        <v>14</v>
      </c>
      <c r="BA21" s="4" t="s">
        <v>268</v>
      </c>
      <c r="BB21" s="4" t="s">
        <v>376</v>
      </c>
      <c r="BC21" s="13" t="s">
        <v>377</v>
      </c>
      <c r="BD21" s="4">
        <v>3</v>
      </c>
      <c r="BE21" s="4" t="s">
        <v>457</v>
      </c>
      <c r="BF21" s="13" t="s">
        <v>457</v>
      </c>
      <c r="BG21" s="3"/>
    </row>
    <row r="22" spans="1:59" ht="28.5" hidden="1">
      <c r="A22" s="4">
        <v>19</v>
      </c>
      <c r="B22" s="4" t="s">
        <v>37</v>
      </c>
      <c r="C22" s="4" t="s">
        <v>7</v>
      </c>
      <c r="D22" s="4">
        <v>2014</v>
      </c>
      <c r="E22" s="1" t="s">
        <v>36</v>
      </c>
      <c r="F22" s="13" t="s">
        <v>64</v>
      </c>
      <c r="G22" s="4"/>
      <c r="L22" s="6" t="s">
        <v>252</v>
      </c>
      <c r="M22" s="4" t="s">
        <v>264</v>
      </c>
      <c r="N22" s="13" t="s">
        <v>263</v>
      </c>
      <c r="O22" s="4" t="s">
        <v>13</v>
      </c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12" t="s">
        <v>348</v>
      </c>
      <c r="AU22" s="4" t="s">
        <v>369</v>
      </c>
      <c r="AV22" s="4" t="s">
        <v>684</v>
      </c>
      <c r="AW22" s="4" t="s">
        <v>687</v>
      </c>
      <c r="AX22" s="4" t="s">
        <v>690</v>
      </c>
      <c r="AY22" s="4" t="s">
        <v>371</v>
      </c>
      <c r="AZ22" s="13" t="s">
        <v>14</v>
      </c>
      <c r="BA22" s="4" t="s">
        <v>268</v>
      </c>
      <c r="BB22" s="4" t="s">
        <v>376</v>
      </c>
      <c r="BC22" s="13" t="s">
        <v>377</v>
      </c>
      <c r="BD22" s="4">
        <v>2</v>
      </c>
      <c r="BE22" s="4" t="s">
        <v>457</v>
      </c>
      <c r="BF22" s="13" t="s">
        <v>457</v>
      </c>
      <c r="BG22" s="3"/>
    </row>
    <row r="23" spans="1:59" ht="57" hidden="1">
      <c r="A23" s="4">
        <v>20</v>
      </c>
      <c r="B23" s="4" t="s">
        <v>9</v>
      </c>
      <c r="C23" s="4" t="s">
        <v>5</v>
      </c>
      <c r="D23" s="4">
        <v>2013</v>
      </c>
      <c r="E23" s="1" t="s">
        <v>38</v>
      </c>
      <c r="F23" s="13" t="s">
        <v>12</v>
      </c>
      <c r="G23" s="4"/>
      <c r="L23" s="6" t="s">
        <v>253</v>
      </c>
      <c r="M23" s="4" t="s">
        <v>265</v>
      </c>
      <c r="N23" s="13" t="s">
        <v>268</v>
      </c>
      <c r="O23" s="4"/>
      <c r="P23" s="4"/>
      <c r="Q23" s="4"/>
      <c r="R23" s="4"/>
      <c r="S23" s="4"/>
      <c r="T23" s="4"/>
      <c r="U23" s="4"/>
      <c r="V23" s="4"/>
      <c r="W23" s="4"/>
      <c r="X23" s="4"/>
      <c r="Y23" s="4" t="s">
        <v>13</v>
      </c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12" t="s">
        <v>349</v>
      </c>
      <c r="AU23" s="4" t="s">
        <v>369</v>
      </c>
      <c r="AV23" s="4" t="s">
        <v>684</v>
      </c>
      <c r="AW23" s="4" t="s">
        <v>687</v>
      </c>
      <c r="AX23" s="4" t="s">
        <v>690</v>
      </c>
      <c r="AY23" s="4" t="s">
        <v>371</v>
      </c>
      <c r="AZ23" s="13" t="s">
        <v>14</v>
      </c>
      <c r="BA23" s="4" t="s">
        <v>378</v>
      </c>
      <c r="BB23" s="4" t="s">
        <v>376</v>
      </c>
      <c r="BC23" s="13" t="s">
        <v>379</v>
      </c>
      <c r="BD23" s="4">
        <v>4</v>
      </c>
      <c r="BE23" s="4" t="s">
        <v>454</v>
      </c>
      <c r="BF23" s="13" t="s">
        <v>456</v>
      </c>
      <c r="BG23" s="3"/>
    </row>
    <row r="24" spans="1:59" ht="42.75" hidden="1">
      <c r="A24" s="4">
        <v>21</v>
      </c>
      <c r="B24" s="4" t="s">
        <v>37</v>
      </c>
      <c r="C24" s="4" t="s">
        <v>7</v>
      </c>
      <c r="D24" s="4">
        <v>2014</v>
      </c>
      <c r="E24" s="1" t="s">
        <v>39</v>
      </c>
      <c r="F24" s="13" t="s">
        <v>64</v>
      </c>
      <c r="G24" s="4"/>
      <c r="L24" s="6" t="s">
        <v>252</v>
      </c>
      <c r="M24" s="4" t="s">
        <v>266</v>
      </c>
      <c r="N24" s="13" t="s">
        <v>268</v>
      </c>
      <c r="O24" s="4"/>
      <c r="P24" s="4"/>
      <c r="Q24" s="4"/>
      <c r="R24" s="4"/>
      <c r="S24" s="4"/>
      <c r="T24" s="4"/>
      <c r="U24" s="4"/>
      <c r="V24" s="4"/>
      <c r="W24" s="4"/>
      <c r="X24" s="4"/>
      <c r="Y24" s="4" t="s">
        <v>13</v>
      </c>
      <c r="Z24" s="4"/>
      <c r="AA24" s="4"/>
      <c r="AB24" s="4"/>
      <c r="AC24" s="4"/>
      <c r="AD24" s="4" t="s">
        <v>13</v>
      </c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12" t="s">
        <v>349</v>
      </c>
      <c r="AU24" s="4" t="s">
        <v>369</v>
      </c>
      <c r="AV24" s="4" t="s">
        <v>684</v>
      </c>
      <c r="AW24" s="4" t="s">
        <v>687</v>
      </c>
      <c r="AX24" s="4" t="s">
        <v>690</v>
      </c>
      <c r="AY24" s="4" t="s">
        <v>371</v>
      </c>
      <c r="AZ24" s="13" t="s">
        <v>14</v>
      </c>
      <c r="BA24" s="4" t="s">
        <v>380</v>
      </c>
      <c r="BB24" s="4" t="s">
        <v>376</v>
      </c>
      <c r="BC24" s="13" t="s">
        <v>381</v>
      </c>
      <c r="BD24" s="4"/>
      <c r="BE24" s="4" t="s">
        <v>456</v>
      </c>
      <c r="BF24" s="13" t="s">
        <v>456</v>
      </c>
      <c r="BG24" s="3"/>
    </row>
    <row r="25" spans="1:59" ht="28.5">
      <c r="A25" s="4">
        <v>22</v>
      </c>
      <c r="B25" s="4" t="s">
        <v>9</v>
      </c>
      <c r="C25" s="4" t="s">
        <v>5</v>
      </c>
      <c r="D25" s="4">
        <v>2012</v>
      </c>
      <c r="E25" s="1" t="s">
        <v>40</v>
      </c>
      <c r="F25" s="13" t="s">
        <v>12</v>
      </c>
      <c r="G25" s="4"/>
      <c r="L25" s="6" t="s">
        <v>254</v>
      </c>
      <c r="M25" s="4" t="s">
        <v>267</v>
      </c>
      <c r="N25" s="13" t="s">
        <v>268</v>
      </c>
      <c r="O25" s="4"/>
      <c r="P25" s="4" t="s">
        <v>13</v>
      </c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12" t="s">
        <v>350</v>
      </c>
      <c r="AU25" s="4" t="s">
        <v>368</v>
      </c>
      <c r="AV25" s="4" t="s">
        <v>685</v>
      </c>
      <c r="AW25" s="4" t="s">
        <v>687</v>
      </c>
      <c r="AX25" s="4" t="s">
        <v>690</v>
      </c>
      <c r="AY25" s="4" t="s">
        <v>371</v>
      </c>
      <c r="AZ25" s="13" t="s">
        <v>14</v>
      </c>
      <c r="BA25" s="4" t="s">
        <v>268</v>
      </c>
      <c r="BB25" s="4" t="s">
        <v>376</v>
      </c>
      <c r="BC25" s="13" t="s">
        <v>382</v>
      </c>
      <c r="BD25" s="4">
        <v>3</v>
      </c>
      <c r="BE25" s="4" t="s">
        <v>457</v>
      </c>
      <c r="BF25" s="13" t="s">
        <v>456</v>
      </c>
      <c r="BG25" s="3"/>
    </row>
    <row r="26" spans="1:59" ht="57" hidden="1">
      <c r="A26" s="4">
        <v>23</v>
      </c>
      <c r="B26" s="4" t="s">
        <v>9</v>
      </c>
      <c r="C26" s="4" t="s">
        <v>5</v>
      </c>
      <c r="D26" s="4">
        <v>2015</v>
      </c>
      <c r="E26" s="1" t="s">
        <v>41</v>
      </c>
      <c r="F26" s="13" t="s">
        <v>12</v>
      </c>
      <c r="G26" s="4"/>
      <c r="L26" s="6" t="s">
        <v>254</v>
      </c>
      <c r="M26" s="4" t="s">
        <v>266</v>
      </c>
      <c r="N26" s="13" t="s">
        <v>268</v>
      </c>
      <c r="O26" s="4" t="s">
        <v>13</v>
      </c>
      <c r="P26" s="4"/>
      <c r="Q26" s="4"/>
      <c r="R26" s="4"/>
      <c r="S26" s="4" t="s">
        <v>13</v>
      </c>
      <c r="T26" s="4"/>
      <c r="U26" s="4" t="s">
        <v>13</v>
      </c>
      <c r="V26" s="4"/>
      <c r="W26" s="4"/>
      <c r="X26" s="4" t="s">
        <v>13</v>
      </c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12" t="s">
        <v>349</v>
      </c>
      <c r="AU26" s="4" t="s">
        <v>370</v>
      </c>
      <c r="AV26" s="4" t="s">
        <v>684</v>
      </c>
      <c r="AW26" s="4" t="s">
        <v>687</v>
      </c>
      <c r="AX26" s="4" t="s">
        <v>690</v>
      </c>
      <c r="AY26" s="4" t="s">
        <v>371</v>
      </c>
      <c r="AZ26" s="13" t="s">
        <v>14</v>
      </c>
      <c r="BA26" s="4" t="s">
        <v>396</v>
      </c>
      <c r="BB26" s="4" t="s">
        <v>376</v>
      </c>
      <c r="BC26" s="13" t="s">
        <v>617</v>
      </c>
      <c r="BD26" s="4">
        <v>4</v>
      </c>
      <c r="BE26" s="4" t="s">
        <v>457</v>
      </c>
      <c r="BF26" s="13" t="s">
        <v>456</v>
      </c>
      <c r="BG26" s="3"/>
    </row>
    <row r="27" spans="1:59" ht="42.75" hidden="1">
      <c r="A27" s="4">
        <v>24</v>
      </c>
      <c r="B27" s="4" t="s">
        <v>9</v>
      </c>
      <c r="C27" s="4" t="s">
        <v>5</v>
      </c>
      <c r="D27" s="4">
        <v>2016</v>
      </c>
      <c r="E27" s="1" t="s">
        <v>59</v>
      </c>
      <c r="F27" s="13" t="s">
        <v>12</v>
      </c>
      <c r="G27" s="4"/>
      <c r="L27" s="6" t="s">
        <v>585</v>
      </c>
      <c r="M27" s="4" t="s">
        <v>269</v>
      </c>
      <c r="N27" s="13" t="s">
        <v>603</v>
      </c>
      <c r="O27" s="4" t="s">
        <v>13</v>
      </c>
      <c r="P27" s="4"/>
      <c r="Q27" s="4"/>
      <c r="R27" s="4"/>
      <c r="S27" s="4" t="s">
        <v>13</v>
      </c>
      <c r="T27" s="4"/>
      <c r="U27" s="4" t="s">
        <v>13</v>
      </c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 t="s">
        <v>13</v>
      </c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12" t="s">
        <v>351</v>
      </c>
      <c r="AU27" s="4" t="s">
        <v>370</v>
      </c>
      <c r="AV27" s="4" t="s">
        <v>684</v>
      </c>
      <c r="AW27" s="4" t="s">
        <v>687</v>
      </c>
      <c r="AX27" s="4" t="s">
        <v>690</v>
      </c>
      <c r="AY27" s="4" t="s">
        <v>371</v>
      </c>
      <c r="AZ27" s="13" t="s">
        <v>374</v>
      </c>
      <c r="BA27" s="4" t="s">
        <v>396</v>
      </c>
      <c r="BB27" s="4" t="s">
        <v>376</v>
      </c>
      <c r="BC27" s="13" t="s">
        <v>384</v>
      </c>
      <c r="BD27" s="4">
        <v>7</v>
      </c>
      <c r="BE27" s="4" t="s">
        <v>454</v>
      </c>
      <c r="BF27" s="13" t="s">
        <v>454</v>
      </c>
      <c r="BG27" s="3"/>
    </row>
    <row r="28" spans="1:59" ht="42.75" hidden="1">
      <c r="A28" s="4">
        <v>25</v>
      </c>
      <c r="B28" s="4" t="s">
        <v>9</v>
      </c>
      <c r="C28" s="4" t="s">
        <v>5</v>
      </c>
      <c r="D28" s="4">
        <v>2013</v>
      </c>
      <c r="E28" s="1" t="s">
        <v>60</v>
      </c>
      <c r="F28" s="13" t="s">
        <v>12</v>
      </c>
      <c r="G28" s="4"/>
      <c r="L28" s="6" t="s">
        <v>253</v>
      </c>
      <c r="M28" s="4" t="s">
        <v>266</v>
      </c>
      <c r="N28" s="13" t="s">
        <v>268</v>
      </c>
      <c r="O28" s="4"/>
      <c r="P28" s="4"/>
      <c r="Q28" s="4" t="s">
        <v>13</v>
      </c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 t="s">
        <v>13</v>
      </c>
      <c r="AK28" s="4"/>
      <c r="AL28" s="4"/>
      <c r="AM28" s="4"/>
      <c r="AN28" s="4"/>
      <c r="AO28" s="4"/>
      <c r="AP28" s="4"/>
      <c r="AQ28" s="4"/>
      <c r="AR28" s="4"/>
      <c r="AS28" s="4"/>
      <c r="AT28" s="12" t="s">
        <v>352</v>
      </c>
      <c r="AU28" s="4" t="s">
        <v>368</v>
      </c>
      <c r="AV28" s="4" t="s">
        <v>684</v>
      </c>
      <c r="AW28" s="4" t="s">
        <v>687</v>
      </c>
      <c r="AX28" s="4" t="s">
        <v>690</v>
      </c>
      <c r="AY28" s="4" t="s">
        <v>371</v>
      </c>
      <c r="AZ28" s="13" t="s">
        <v>14</v>
      </c>
      <c r="BA28" s="4" t="s">
        <v>385</v>
      </c>
      <c r="BB28" s="4" t="s">
        <v>376</v>
      </c>
      <c r="BC28" s="13" t="s">
        <v>386</v>
      </c>
      <c r="BD28" s="4">
        <v>4</v>
      </c>
      <c r="BE28" s="4" t="s">
        <v>454</v>
      </c>
      <c r="BF28" s="13" t="s">
        <v>456</v>
      </c>
      <c r="BG28" s="3"/>
    </row>
    <row r="29" spans="1:59" ht="42.75" hidden="1">
      <c r="A29" s="4">
        <v>26</v>
      </c>
      <c r="C29" s="4" t="s">
        <v>5</v>
      </c>
      <c r="D29" s="4">
        <v>2012</v>
      </c>
      <c r="E29" s="1" t="s">
        <v>61</v>
      </c>
      <c r="F29" s="13" t="s">
        <v>62</v>
      </c>
      <c r="G29" s="4"/>
      <c r="L29" s="6" t="s">
        <v>255</v>
      </c>
      <c r="M29" s="4" t="s">
        <v>270</v>
      </c>
      <c r="N29" s="13" t="s">
        <v>646</v>
      </c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 t="s">
        <v>13</v>
      </c>
      <c r="AJ29" s="4"/>
      <c r="AK29" s="4" t="s">
        <v>13</v>
      </c>
      <c r="AL29" s="4"/>
      <c r="AM29" s="4" t="s">
        <v>13</v>
      </c>
      <c r="AN29" s="4"/>
      <c r="AO29" s="4"/>
      <c r="AP29" s="4"/>
      <c r="AQ29" s="4"/>
      <c r="AR29" s="4"/>
      <c r="AS29" s="4"/>
      <c r="AT29" s="12" t="s">
        <v>353</v>
      </c>
      <c r="AU29" s="4" t="s">
        <v>370</v>
      </c>
      <c r="AV29" s="4" t="s">
        <v>684</v>
      </c>
      <c r="AW29" s="4" t="s">
        <v>687</v>
      </c>
      <c r="AX29" s="4" t="s">
        <v>690</v>
      </c>
      <c r="AY29" s="4" t="s">
        <v>371</v>
      </c>
      <c r="AZ29" s="13" t="s">
        <v>374</v>
      </c>
      <c r="BA29" s="4" t="s">
        <v>387</v>
      </c>
      <c r="BB29" s="4" t="s">
        <v>268</v>
      </c>
      <c r="BC29" s="13" t="s">
        <v>388</v>
      </c>
      <c r="BD29" s="4">
        <v>7</v>
      </c>
      <c r="BE29" s="4" t="s">
        <v>454</v>
      </c>
      <c r="BF29" s="13" t="s">
        <v>454</v>
      </c>
      <c r="BG29" s="3"/>
    </row>
    <row r="30" spans="1:59" ht="71.25" hidden="1">
      <c r="A30" s="4">
        <v>27</v>
      </c>
      <c r="B30" s="4" t="s">
        <v>37</v>
      </c>
      <c r="C30" s="4" t="s">
        <v>7</v>
      </c>
      <c r="D30" s="4">
        <v>2010</v>
      </c>
      <c r="E30" s="1" t="s">
        <v>63</v>
      </c>
      <c r="F30" s="13" t="s">
        <v>64</v>
      </c>
      <c r="G30" s="4"/>
      <c r="L30" s="6" t="s">
        <v>256</v>
      </c>
      <c r="M30" s="4" t="s">
        <v>271</v>
      </c>
      <c r="N30" s="13" t="s">
        <v>268</v>
      </c>
      <c r="O30" s="4"/>
      <c r="P30" s="4"/>
      <c r="Q30" s="4"/>
      <c r="R30" s="4"/>
      <c r="S30" s="4"/>
      <c r="T30" s="4"/>
      <c r="U30" s="4" t="s">
        <v>13</v>
      </c>
      <c r="V30" s="4"/>
      <c r="W30" s="4"/>
      <c r="X30" s="4"/>
      <c r="Y30" s="4"/>
      <c r="Z30" s="4"/>
      <c r="AA30" s="4"/>
      <c r="AB30" s="4"/>
      <c r="AC30" s="4"/>
      <c r="AD30" s="4"/>
      <c r="AE30" s="4" t="s">
        <v>13</v>
      </c>
      <c r="AF30" s="4"/>
      <c r="AG30" s="4"/>
      <c r="AH30" s="4" t="s">
        <v>13</v>
      </c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12" t="s">
        <v>351</v>
      </c>
      <c r="AU30" s="4" t="s">
        <v>369</v>
      </c>
      <c r="AV30" s="4" t="s">
        <v>684</v>
      </c>
      <c r="AW30" s="4" t="s">
        <v>687</v>
      </c>
      <c r="AX30" s="4" t="s">
        <v>690</v>
      </c>
      <c r="AY30" s="4" t="s">
        <v>371</v>
      </c>
      <c r="AZ30" s="13" t="s">
        <v>14</v>
      </c>
      <c r="BA30" s="4" t="s">
        <v>389</v>
      </c>
      <c r="BB30" s="4" t="s">
        <v>376</v>
      </c>
      <c r="BC30" s="13" t="s">
        <v>390</v>
      </c>
      <c r="BD30" s="4">
        <v>5</v>
      </c>
      <c r="BE30" s="4" t="s">
        <v>457</v>
      </c>
      <c r="BF30" s="13" t="s">
        <v>456</v>
      </c>
      <c r="BG30" s="3"/>
    </row>
    <row r="31" spans="1:59" ht="57" hidden="1">
      <c r="A31" s="4">
        <v>28</v>
      </c>
      <c r="B31" s="4" t="s">
        <v>9</v>
      </c>
      <c r="C31" s="4" t="s">
        <v>5</v>
      </c>
      <c r="D31" s="4">
        <v>2015</v>
      </c>
      <c r="E31" s="1" t="s">
        <v>65</v>
      </c>
      <c r="F31" s="13" t="s">
        <v>12</v>
      </c>
      <c r="G31" s="4"/>
      <c r="L31" s="6" t="s">
        <v>254</v>
      </c>
      <c r="M31" s="4" t="s">
        <v>272</v>
      </c>
      <c r="N31" s="13" t="s">
        <v>268</v>
      </c>
      <c r="O31" s="4"/>
      <c r="P31" s="4"/>
      <c r="Q31" s="4"/>
      <c r="R31" s="4"/>
      <c r="S31" s="4"/>
      <c r="T31" s="4" t="s">
        <v>13</v>
      </c>
      <c r="U31" s="4" t="s">
        <v>13</v>
      </c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 t="s">
        <v>13</v>
      </c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12" t="s">
        <v>354</v>
      </c>
      <c r="AU31" s="4" t="s">
        <v>370</v>
      </c>
      <c r="AV31" s="4" t="s">
        <v>684</v>
      </c>
      <c r="AW31" s="4" t="s">
        <v>687</v>
      </c>
      <c r="AX31" s="4" t="s">
        <v>690</v>
      </c>
      <c r="AY31" s="4" t="s">
        <v>371</v>
      </c>
      <c r="AZ31" s="13" t="s">
        <v>374</v>
      </c>
      <c r="BA31" s="4" t="s">
        <v>391</v>
      </c>
      <c r="BB31" s="4" t="s">
        <v>376</v>
      </c>
      <c r="BC31" s="13" t="s">
        <v>392</v>
      </c>
      <c r="BD31" s="4">
        <v>7</v>
      </c>
      <c r="BE31" s="4" t="s">
        <v>457</v>
      </c>
      <c r="BF31" s="13" t="s">
        <v>454</v>
      </c>
      <c r="BG31" s="3"/>
    </row>
    <row r="32" spans="1:59" ht="57" hidden="1">
      <c r="A32" s="4">
        <v>29</v>
      </c>
      <c r="B32" s="4" t="s">
        <v>67</v>
      </c>
      <c r="D32" s="4">
        <v>2013</v>
      </c>
      <c r="E32" s="1" t="s">
        <v>66</v>
      </c>
      <c r="F32" s="13"/>
      <c r="G32" s="4"/>
      <c r="L32" s="6" t="s">
        <v>254</v>
      </c>
      <c r="M32" s="4" t="s">
        <v>266</v>
      </c>
      <c r="N32" s="13" t="s">
        <v>268</v>
      </c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 t="s">
        <v>13</v>
      </c>
      <c r="AO32" s="4"/>
      <c r="AP32" s="4"/>
      <c r="AQ32" s="4" t="s">
        <v>13</v>
      </c>
      <c r="AR32" s="4"/>
      <c r="AS32" s="4"/>
      <c r="AT32" s="12" t="s">
        <v>355</v>
      </c>
      <c r="AU32" s="4" t="s">
        <v>370</v>
      </c>
      <c r="AV32" s="4" t="s">
        <v>684</v>
      </c>
      <c r="AW32" s="4" t="s">
        <v>687</v>
      </c>
      <c r="AX32" s="4" t="s">
        <v>690</v>
      </c>
      <c r="AY32" s="4" t="s">
        <v>371</v>
      </c>
      <c r="AZ32" s="13" t="s">
        <v>374</v>
      </c>
      <c r="BA32" s="4" t="s">
        <v>393</v>
      </c>
      <c r="BB32" s="4" t="s">
        <v>394</v>
      </c>
      <c r="BC32" s="13" t="s">
        <v>395</v>
      </c>
      <c r="BD32" s="4"/>
      <c r="BE32" s="4" t="s">
        <v>456</v>
      </c>
      <c r="BF32" s="13" t="s">
        <v>456</v>
      </c>
      <c r="BG32" s="3"/>
    </row>
    <row r="33" spans="1:59" ht="28.5" hidden="1">
      <c r="A33" s="4">
        <v>30</v>
      </c>
      <c r="B33" s="4" t="s">
        <v>37</v>
      </c>
      <c r="C33" s="4" t="s">
        <v>7</v>
      </c>
      <c r="D33" s="4">
        <v>2013</v>
      </c>
      <c r="E33" s="1" t="s">
        <v>68</v>
      </c>
      <c r="F33" s="18" t="s">
        <v>64</v>
      </c>
      <c r="G33" s="4"/>
      <c r="L33" s="6" t="s">
        <v>252</v>
      </c>
      <c r="M33" s="4" t="s">
        <v>266</v>
      </c>
      <c r="N33" s="13" t="s">
        <v>263</v>
      </c>
      <c r="O33" s="4"/>
      <c r="P33" s="4"/>
      <c r="Q33" s="4"/>
      <c r="R33" s="4"/>
      <c r="S33" s="4"/>
      <c r="T33" s="4"/>
      <c r="U33" s="4" t="s">
        <v>13</v>
      </c>
      <c r="V33" s="4"/>
      <c r="W33" s="4"/>
      <c r="X33" s="4"/>
      <c r="Y33" s="4"/>
      <c r="Z33" s="4"/>
      <c r="AA33" s="4"/>
      <c r="AB33" s="4"/>
      <c r="AC33" s="4"/>
      <c r="AD33" s="4" t="s">
        <v>13</v>
      </c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12" t="s">
        <v>356</v>
      </c>
      <c r="AU33" s="4" t="s">
        <v>368</v>
      </c>
      <c r="AV33" s="4" t="s">
        <v>684</v>
      </c>
      <c r="AW33" s="4" t="s">
        <v>687</v>
      </c>
      <c r="AX33" s="4" t="s">
        <v>690</v>
      </c>
      <c r="AY33" s="4" t="s">
        <v>371</v>
      </c>
      <c r="AZ33" s="13" t="s">
        <v>14</v>
      </c>
      <c r="BA33" s="4" t="s">
        <v>268</v>
      </c>
      <c r="BB33" s="4" t="s">
        <v>376</v>
      </c>
      <c r="BC33" s="13" t="s">
        <v>615</v>
      </c>
      <c r="BD33" s="4">
        <v>2</v>
      </c>
      <c r="BE33" s="4" t="s">
        <v>457</v>
      </c>
      <c r="BF33" s="13" t="s">
        <v>456</v>
      </c>
      <c r="BG33" s="3"/>
    </row>
    <row r="34" spans="1:59" ht="28.5" hidden="1">
      <c r="A34" s="4">
        <v>31</v>
      </c>
      <c r="B34" s="4" t="s">
        <v>67</v>
      </c>
      <c r="D34" s="4">
        <v>2013</v>
      </c>
      <c r="E34" s="1" t="s">
        <v>69</v>
      </c>
      <c r="F34" s="13"/>
      <c r="G34" s="4"/>
      <c r="L34" s="6" t="s">
        <v>252</v>
      </c>
      <c r="M34" s="4" t="s">
        <v>266</v>
      </c>
      <c r="N34" s="13" t="s">
        <v>263</v>
      </c>
      <c r="O34" s="4"/>
      <c r="P34" s="4"/>
      <c r="Q34" s="4"/>
      <c r="R34" s="4" t="s">
        <v>13</v>
      </c>
      <c r="S34" s="4"/>
      <c r="T34" s="4"/>
      <c r="U34" s="4"/>
      <c r="V34" s="4"/>
      <c r="W34" s="4"/>
      <c r="X34" s="4" t="s">
        <v>13</v>
      </c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12" t="s">
        <v>356</v>
      </c>
      <c r="AU34" s="4" t="s">
        <v>368</v>
      </c>
      <c r="AV34" s="4" t="s">
        <v>684</v>
      </c>
      <c r="AW34" s="4" t="s">
        <v>687</v>
      </c>
      <c r="AX34" s="4" t="s">
        <v>690</v>
      </c>
      <c r="AY34" s="4" t="s">
        <v>371</v>
      </c>
      <c r="AZ34" s="13" t="s">
        <v>14</v>
      </c>
      <c r="BA34" s="4" t="s">
        <v>396</v>
      </c>
      <c r="BB34" s="4" t="s">
        <v>376</v>
      </c>
      <c r="BC34" s="13" t="s">
        <v>268</v>
      </c>
      <c r="BD34" s="4">
        <v>1</v>
      </c>
      <c r="BE34" s="4" t="s">
        <v>455</v>
      </c>
      <c r="BF34" s="13" t="s">
        <v>456</v>
      </c>
      <c r="BG34" s="3"/>
    </row>
    <row r="35" spans="1:59" ht="28.5" hidden="1">
      <c r="A35" s="4">
        <v>32</v>
      </c>
      <c r="B35" s="4" t="s">
        <v>67</v>
      </c>
      <c r="D35" s="4">
        <v>2013</v>
      </c>
      <c r="E35" s="1" t="s">
        <v>70</v>
      </c>
      <c r="F35" s="18" t="s">
        <v>64</v>
      </c>
      <c r="G35" s="4"/>
      <c r="L35" s="6" t="s">
        <v>252</v>
      </c>
      <c r="M35" s="4" t="s">
        <v>266</v>
      </c>
      <c r="N35" s="13" t="s">
        <v>263</v>
      </c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 t="s">
        <v>13</v>
      </c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12" t="s">
        <v>350</v>
      </c>
      <c r="AU35" s="4" t="s">
        <v>369</v>
      </c>
      <c r="AV35" s="4" t="s">
        <v>684</v>
      </c>
      <c r="AW35" s="4" t="s">
        <v>687</v>
      </c>
      <c r="AX35" s="4" t="s">
        <v>690</v>
      </c>
      <c r="AY35" s="4" t="s">
        <v>371</v>
      </c>
      <c r="AZ35" s="13" t="s">
        <v>14</v>
      </c>
      <c r="BA35" s="4" t="s">
        <v>268</v>
      </c>
      <c r="BB35" s="4" t="s">
        <v>375</v>
      </c>
      <c r="BC35" s="13" t="s">
        <v>268</v>
      </c>
      <c r="BD35" s="4">
        <v>2</v>
      </c>
      <c r="BE35" s="4" t="s">
        <v>457</v>
      </c>
      <c r="BF35" s="13" t="s">
        <v>456</v>
      </c>
      <c r="BG35" s="3"/>
    </row>
    <row r="36" spans="1:59" ht="28.5" hidden="1">
      <c r="A36" s="4">
        <v>33</v>
      </c>
      <c r="B36" s="4" t="s">
        <v>37</v>
      </c>
      <c r="C36" s="4" t="s">
        <v>7</v>
      </c>
      <c r="D36" s="4">
        <v>2013</v>
      </c>
      <c r="E36" s="1" t="s">
        <v>71</v>
      </c>
      <c r="F36" s="13" t="s">
        <v>64</v>
      </c>
      <c r="G36" s="4"/>
      <c r="L36" s="6" t="s">
        <v>252</v>
      </c>
      <c r="M36" s="4" t="s">
        <v>266</v>
      </c>
      <c r="N36" s="13" t="s">
        <v>263</v>
      </c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 t="s">
        <v>13</v>
      </c>
      <c r="AE36" s="4"/>
      <c r="AF36" s="4"/>
      <c r="AG36" s="4"/>
      <c r="AH36" s="4" t="s">
        <v>13</v>
      </c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12" t="s">
        <v>356</v>
      </c>
      <c r="AU36" s="4" t="s">
        <v>368</v>
      </c>
      <c r="AV36" s="4" t="s">
        <v>684</v>
      </c>
      <c r="AW36" s="4" t="s">
        <v>687</v>
      </c>
      <c r="AX36" s="4" t="s">
        <v>690</v>
      </c>
      <c r="AY36" s="4" t="s">
        <v>371</v>
      </c>
      <c r="AZ36" s="13" t="s">
        <v>14</v>
      </c>
      <c r="BA36" s="4" t="s">
        <v>268</v>
      </c>
      <c r="BB36" s="4" t="s">
        <v>375</v>
      </c>
      <c r="BC36" s="13" t="s">
        <v>268</v>
      </c>
      <c r="BD36" s="4">
        <v>4</v>
      </c>
      <c r="BE36" s="4" t="s">
        <v>454</v>
      </c>
      <c r="BF36" s="13" t="s">
        <v>457</v>
      </c>
      <c r="BG36" s="3"/>
    </row>
    <row r="37" spans="1:59" ht="28.5" hidden="1">
      <c r="A37" s="4">
        <v>34</v>
      </c>
      <c r="B37" s="4" t="s">
        <v>67</v>
      </c>
      <c r="D37" s="4">
        <v>2013</v>
      </c>
      <c r="E37" s="1" t="s">
        <v>72</v>
      </c>
      <c r="F37" s="13"/>
      <c r="G37" s="4"/>
      <c r="L37" s="6" t="s">
        <v>252</v>
      </c>
      <c r="M37" s="4" t="s">
        <v>266</v>
      </c>
      <c r="N37" s="13" t="s">
        <v>263</v>
      </c>
      <c r="O37" s="4" t="s">
        <v>13</v>
      </c>
      <c r="P37" s="4" t="s">
        <v>13</v>
      </c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 t="s">
        <v>13</v>
      </c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12" t="s">
        <v>356</v>
      </c>
      <c r="AU37" s="4" t="s">
        <v>368</v>
      </c>
      <c r="AV37" s="4" t="s">
        <v>684</v>
      </c>
      <c r="AW37" s="4" t="s">
        <v>687</v>
      </c>
      <c r="AX37" s="4" t="s">
        <v>690</v>
      </c>
      <c r="AY37" s="4" t="s">
        <v>371</v>
      </c>
      <c r="AZ37" s="13" t="s">
        <v>14</v>
      </c>
      <c r="BA37" s="4" t="s">
        <v>268</v>
      </c>
      <c r="BB37" s="4" t="s">
        <v>376</v>
      </c>
      <c r="BC37" s="13" t="s">
        <v>397</v>
      </c>
      <c r="BD37" s="4">
        <v>4</v>
      </c>
      <c r="BE37" s="4" t="s">
        <v>457</v>
      </c>
      <c r="BF37" s="13" t="s">
        <v>457</v>
      </c>
      <c r="BG37" s="3"/>
    </row>
    <row r="38" spans="1:59" ht="28.5" hidden="1">
      <c r="A38" s="4">
        <v>35</v>
      </c>
      <c r="B38" s="4" t="s">
        <v>67</v>
      </c>
      <c r="D38" s="4">
        <v>2013</v>
      </c>
      <c r="E38" s="1" t="s">
        <v>73</v>
      </c>
      <c r="F38" s="13"/>
      <c r="G38" s="4"/>
      <c r="L38" s="6" t="s">
        <v>252</v>
      </c>
      <c r="M38" s="4" t="s">
        <v>266</v>
      </c>
      <c r="N38" s="13" t="s">
        <v>263</v>
      </c>
      <c r="O38" s="4"/>
      <c r="P38" s="4" t="s">
        <v>13</v>
      </c>
      <c r="Q38" s="4"/>
      <c r="R38" s="4"/>
      <c r="S38" s="4"/>
      <c r="T38" s="4"/>
      <c r="U38" s="4"/>
      <c r="V38" s="4"/>
      <c r="W38" s="4" t="s">
        <v>13</v>
      </c>
      <c r="X38" s="4"/>
      <c r="Y38" s="4"/>
      <c r="Z38" s="4"/>
      <c r="AA38" s="4"/>
      <c r="AB38" s="4"/>
      <c r="AC38" s="4"/>
      <c r="AD38" s="4" t="s">
        <v>13</v>
      </c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12" t="s">
        <v>350</v>
      </c>
      <c r="AU38" s="4" t="s">
        <v>368</v>
      </c>
      <c r="AV38" s="4" t="s">
        <v>684</v>
      </c>
      <c r="AW38" s="4" t="s">
        <v>687</v>
      </c>
      <c r="AX38" s="4" t="s">
        <v>690</v>
      </c>
      <c r="AY38" s="4" t="s">
        <v>371</v>
      </c>
      <c r="AZ38" s="13" t="s">
        <v>14</v>
      </c>
      <c r="BA38" s="4" t="s">
        <v>396</v>
      </c>
      <c r="BB38" s="4" t="s">
        <v>376</v>
      </c>
      <c r="BC38" s="13" t="s">
        <v>268</v>
      </c>
      <c r="BD38" s="4">
        <v>2</v>
      </c>
      <c r="BE38" s="4" t="s">
        <v>457</v>
      </c>
      <c r="BF38" s="13" t="s">
        <v>456</v>
      </c>
      <c r="BG38" s="3"/>
    </row>
    <row r="39" spans="1:59" ht="57" hidden="1">
      <c r="A39" s="4">
        <v>36</v>
      </c>
      <c r="B39" s="4" t="s">
        <v>67</v>
      </c>
      <c r="D39" s="4">
        <v>2013</v>
      </c>
      <c r="E39" s="1" t="s">
        <v>74</v>
      </c>
      <c r="F39" s="13"/>
      <c r="G39" s="4"/>
      <c r="L39" s="6" t="s">
        <v>252</v>
      </c>
      <c r="M39" s="4" t="s">
        <v>266</v>
      </c>
      <c r="N39" s="13" t="s">
        <v>263</v>
      </c>
      <c r="O39" s="4"/>
      <c r="P39" s="4"/>
      <c r="Q39" s="4"/>
      <c r="R39" s="4"/>
      <c r="S39" s="4"/>
      <c r="T39" s="4"/>
      <c r="U39" s="4"/>
      <c r="V39" s="4"/>
      <c r="W39" s="4" t="s">
        <v>13</v>
      </c>
      <c r="X39" s="4"/>
      <c r="Y39" s="4"/>
      <c r="Z39" s="4"/>
      <c r="AA39" s="4"/>
      <c r="AB39" s="4"/>
      <c r="AC39" s="4"/>
      <c r="AD39" s="4" t="s">
        <v>13</v>
      </c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12" t="s">
        <v>350</v>
      </c>
      <c r="AU39" s="4" t="s">
        <v>368</v>
      </c>
      <c r="AV39" s="4" t="s">
        <v>684</v>
      </c>
      <c r="AW39" s="4" t="s">
        <v>687</v>
      </c>
      <c r="AX39" s="4" t="s">
        <v>690</v>
      </c>
      <c r="AY39" s="4" t="s">
        <v>371</v>
      </c>
      <c r="AZ39" s="13" t="s">
        <v>14</v>
      </c>
      <c r="BA39" s="4" t="s">
        <v>396</v>
      </c>
      <c r="BB39" s="4" t="s">
        <v>376</v>
      </c>
      <c r="BC39" s="13" t="s">
        <v>398</v>
      </c>
      <c r="BD39" s="4">
        <v>5</v>
      </c>
      <c r="BE39" s="4" t="s">
        <v>457</v>
      </c>
      <c r="BF39" s="13" t="s">
        <v>457</v>
      </c>
      <c r="BG39" s="3"/>
    </row>
    <row r="40" spans="1:59" ht="28.5" hidden="1">
      <c r="A40" s="4">
        <v>37</v>
      </c>
      <c r="B40" s="4" t="s">
        <v>67</v>
      </c>
      <c r="D40" s="4">
        <v>2013</v>
      </c>
      <c r="E40" s="1" t="s">
        <v>75</v>
      </c>
      <c r="F40" s="13"/>
      <c r="G40" s="4"/>
      <c r="L40" s="6" t="s">
        <v>252</v>
      </c>
      <c r="M40" s="4" t="s">
        <v>266</v>
      </c>
      <c r="N40" s="13" t="s">
        <v>263</v>
      </c>
      <c r="O40" s="4"/>
      <c r="P40" s="4"/>
      <c r="Q40" s="4"/>
      <c r="R40" s="4"/>
      <c r="S40" s="4"/>
      <c r="T40" s="4" t="s">
        <v>13</v>
      </c>
      <c r="U40" s="4"/>
      <c r="V40" s="4"/>
      <c r="W40" s="4"/>
      <c r="X40" s="4"/>
      <c r="Y40" s="4"/>
      <c r="Z40" s="4"/>
      <c r="AA40" s="4"/>
      <c r="AB40" s="4"/>
      <c r="AC40" s="4"/>
      <c r="AD40" s="4" t="s">
        <v>13</v>
      </c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12" t="s">
        <v>350</v>
      </c>
      <c r="AU40" s="4" t="s">
        <v>368</v>
      </c>
      <c r="AV40" s="4" t="s">
        <v>684</v>
      </c>
      <c r="AW40" s="4" t="s">
        <v>687</v>
      </c>
      <c r="AX40" s="4" t="s">
        <v>690</v>
      </c>
      <c r="AY40" s="4" t="s">
        <v>371</v>
      </c>
      <c r="AZ40" s="13" t="s">
        <v>14</v>
      </c>
      <c r="BA40" s="4" t="s">
        <v>396</v>
      </c>
      <c r="BB40" s="4" t="s">
        <v>376</v>
      </c>
      <c r="BC40" s="13" t="s">
        <v>268</v>
      </c>
      <c r="BD40" s="4">
        <v>4</v>
      </c>
      <c r="BE40" s="4" t="s">
        <v>454</v>
      </c>
      <c r="BF40" s="13" t="s">
        <v>457</v>
      </c>
      <c r="BG40" s="3"/>
    </row>
    <row r="41" spans="1:59" ht="28.5" hidden="1">
      <c r="A41" s="4">
        <v>38</v>
      </c>
      <c r="B41" s="4" t="s">
        <v>67</v>
      </c>
      <c r="D41" s="4">
        <v>2013</v>
      </c>
      <c r="E41" s="1" t="s">
        <v>76</v>
      </c>
      <c r="F41" s="13"/>
      <c r="G41" s="4"/>
      <c r="L41" s="6" t="s">
        <v>252</v>
      </c>
      <c r="M41" s="4" t="s">
        <v>266</v>
      </c>
      <c r="N41" s="13" t="s">
        <v>263</v>
      </c>
      <c r="O41" s="4" t="s">
        <v>13</v>
      </c>
      <c r="P41" s="4"/>
      <c r="Q41" s="4"/>
      <c r="R41" s="4"/>
      <c r="S41" s="4" t="s">
        <v>13</v>
      </c>
      <c r="T41" s="4"/>
      <c r="U41" s="4"/>
      <c r="V41" s="4"/>
      <c r="W41" s="4"/>
      <c r="X41" s="4"/>
      <c r="Y41" s="4"/>
      <c r="Z41" s="4"/>
      <c r="AA41" s="4"/>
      <c r="AB41" s="4"/>
      <c r="AC41" s="4"/>
      <c r="AD41" s="4" t="s">
        <v>13</v>
      </c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12" t="s">
        <v>356</v>
      </c>
      <c r="AU41" s="4" t="s">
        <v>368</v>
      </c>
      <c r="AV41" s="4" t="s">
        <v>684</v>
      </c>
      <c r="AW41" s="4" t="s">
        <v>687</v>
      </c>
      <c r="AX41" s="4" t="s">
        <v>690</v>
      </c>
      <c r="AY41" s="4" t="s">
        <v>371</v>
      </c>
      <c r="AZ41" s="13" t="s">
        <v>14</v>
      </c>
      <c r="BA41" s="4" t="s">
        <v>268</v>
      </c>
      <c r="BB41" s="4" t="s">
        <v>376</v>
      </c>
      <c r="BC41" s="13" t="s">
        <v>399</v>
      </c>
      <c r="BD41" s="4">
        <v>2</v>
      </c>
      <c r="BE41" s="4" t="s">
        <v>457</v>
      </c>
      <c r="BF41" s="13" t="s">
        <v>456</v>
      </c>
      <c r="BG41" s="3"/>
    </row>
    <row r="42" spans="1:59" ht="42.75" hidden="1">
      <c r="A42" s="4">
        <v>39</v>
      </c>
      <c r="B42" s="4" t="s">
        <v>67</v>
      </c>
      <c r="D42" s="4">
        <v>2013</v>
      </c>
      <c r="E42" s="1" t="s">
        <v>77</v>
      </c>
      <c r="F42" s="13"/>
      <c r="G42" s="4"/>
      <c r="L42" s="6" t="s">
        <v>252</v>
      </c>
      <c r="M42" s="4" t="s">
        <v>266</v>
      </c>
      <c r="N42" s="13" t="s">
        <v>263</v>
      </c>
      <c r="O42" s="4"/>
      <c r="P42" s="4" t="s">
        <v>13</v>
      </c>
      <c r="Q42" s="4"/>
      <c r="R42" s="4"/>
      <c r="S42" s="4"/>
      <c r="T42" s="4"/>
      <c r="U42" s="4"/>
      <c r="V42" s="4"/>
      <c r="W42" s="4"/>
      <c r="X42" s="4"/>
      <c r="Y42" s="4"/>
      <c r="Z42" s="4"/>
      <c r="AA42" s="4" t="s">
        <v>13</v>
      </c>
      <c r="AB42" s="4"/>
      <c r="AC42" s="4"/>
      <c r="AD42" s="4" t="s">
        <v>13</v>
      </c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12" t="s">
        <v>350</v>
      </c>
      <c r="AU42" s="4" t="s">
        <v>369</v>
      </c>
      <c r="AV42" s="4" t="s">
        <v>684</v>
      </c>
      <c r="AW42" s="4" t="s">
        <v>687</v>
      </c>
      <c r="AX42" s="4" t="s">
        <v>690</v>
      </c>
      <c r="AY42" s="4" t="s">
        <v>371</v>
      </c>
      <c r="AZ42" s="13" t="s">
        <v>14</v>
      </c>
      <c r="BA42" s="4" t="s">
        <v>391</v>
      </c>
      <c r="BB42" s="4" t="s">
        <v>376</v>
      </c>
      <c r="BC42" s="13" t="s">
        <v>400</v>
      </c>
      <c r="BD42" s="4">
        <v>3</v>
      </c>
      <c r="BE42" s="4" t="s">
        <v>457</v>
      </c>
      <c r="BF42" s="13" t="s">
        <v>455</v>
      </c>
      <c r="BG42" s="3"/>
    </row>
    <row r="43" spans="1:59" ht="28.5" hidden="1">
      <c r="A43" s="4">
        <v>40</v>
      </c>
      <c r="B43" s="4" t="s">
        <v>67</v>
      </c>
      <c r="D43" s="4">
        <v>2013</v>
      </c>
      <c r="E43" s="1" t="s">
        <v>78</v>
      </c>
      <c r="F43" s="13"/>
      <c r="G43" s="4"/>
      <c r="L43" s="6" t="s">
        <v>252</v>
      </c>
      <c r="M43" s="4" t="s">
        <v>266</v>
      </c>
      <c r="N43" s="13" t="s">
        <v>263</v>
      </c>
      <c r="O43" s="4"/>
      <c r="P43" s="4" t="s">
        <v>13</v>
      </c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 t="s">
        <v>13</v>
      </c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12" t="s">
        <v>350</v>
      </c>
      <c r="AU43" s="4" t="s">
        <v>369</v>
      </c>
      <c r="AV43" s="4" t="s">
        <v>684</v>
      </c>
      <c r="AW43" s="4" t="s">
        <v>687</v>
      </c>
      <c r="AX43" s="4" t="s">
        <v>690</v>
      </c>
      <c r="AY43" s="4" t="s">
        <v>371</v>
      </c>
      <c r="AZ43" s="13" t="s">
        <v>14</v>
      </c>
      <c r="BA43" s="4" t="s">
        <v>268</v>
      </c>
      <c r="BB43" s="4" t="s">
        <v>268</v>
      </c>
      <c r="BC43" s="13" t="s">
        <v>399</v>
      </c>
      <c r="BD43" s="4">
        <v>4</v>
      </c>
      <c r="BE43" s="4" t="s">
        <v>454</v>
      </c>
      <c r="BF43" s="13" t="s">
        <v>457</v>
      </c>
      <c r="BG43" s="3"/>
    </row>
    <row r="44" spans="1:59" ht="28.5" hidden="1">
      <c r="A44" s="4">
        <v>41</v>
      </c>
      <c r="B44" s="4" t="s">
        <v>67</v>
      </c>
      <c r="D44" s="4">
        <v>2013</v>
      </c>
      <c r="E44" s="1" t="s">
        <v>79</v>
      </c>
      <c r="F44" s="13"/>
      <c r="G44" s="4"/>
      <c r="L44" s="6" t="s">
        <v>252</v>
      </c>
      <c r="M44" s="4" t="s">
        <v>266</v>
      </c>
      <c r="N44" s="13" t="s">
        <v>263</v>
      </c>
      <c r="O44" s="4"/>
      <c r="P44" s="4"/>
      <c r="Q44" s="4"/>
      <c r="R44" s="4"/>
      <c r="S44" s="4"/>
      <c r="T44" s="4"/>
      <c r="U44" s="4"/>
      <c r="V44" s="4"/>
      <c r="W44" s="4"/>
      <c r="X44" s="4"/>
      <c r="Y44" s="4" t="s">
        <v>13</v>
      </c>
      <c r="Z44" s="4"/>
      <c r="AA44" s="4"/>
      <c r="AB44" s="4"/>
      <c r="AC44" s="4"/>
      <c r="AD44" s="4" t="s">
        <v>13</v>
      </c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12" t="s">
        <v>350</v>
      </c>
      <c r="AU44" s="4" t="s">
        <v>369</v>
      </c>
      <c r="AV44" s="4" t="s">
        <v>684</v>
      </c>
      <c r="AW44" s="4" t="s">
        <v>687</v>
      </c>
      <c r="AX44" s="4" t="s">
        <v>690</v>
      </c>
      <c r="AY44" s="4" t="s">
        <v>371</v>
      </c>
      <c r="AZ44" s="13" t="s">
        <v>14</v>
      </c>
      <c r="BA44" s="4" t="s">
        <v>268</v>
      </c>
      <c r="BB44" s="4" t="s">
        <v>268</v>
      </c>
      <c r="BC44" s="13" t="s">
        <v>399</v>
      </c>
      <c r="BD44" s="4">
        <v>2</v>
      </c>
      <c r="BE44" s="4" t="s">
        <v>455</v>
      </c>
      <c r="BF44" s="13" t="s">
        <v>455</v>
      </c>
      <c r="BG44" s="3"/>
    </row>
    <row r="45" spans="1:59" ht="28.5" hidden="1">
      <c r="A45" s="4">
        <v>42</v>
      </c>
      <c r="B45" s="4" t="s">
        <v>37</v>
      </c>
      <c r="C45" s="4" t="s">
        <v>7</v>
      </c>
      <c r="D45" s="4">
        <v>2015</v>
      </c>
      <c r="E45" s="1" t="s">
        <v>80</v>
      </c>
      <c r="F45" s="13" t="s">
        <v>64</v>
      </c>
      <c r="G45" s="4"/>
      <c r="L45" s="6" t="s">
        <v>252</v>
      </c>
      <c r="M45" s="4" t="s">
        <v>266</v>
      </c>
      <c r="N45" s="13" t="s">
        <v>263</v>
      </c>
      <c r="O45" s="4"/>
      <c r="P45" s="4"/>
      <c r="Q45" s="4"/>
      <c r="R45" s="4"/>
      <c r="S45" s="4"/>
      <c r="T45" s="4"/>
      <c r="U45" s="4"/>
      <c r="V45" s="4"/>
      <c r="W45" s="4"/>
      <c r="X45" s="4" t="s">
        <v>13</v>
      </c>
      <c r="Y45" s="4"/>
      <c r="Z45" s="4"/>
      <c r="AA45" s="4"/>
      <c r="AB45" s="4"/>
      <c r="AC45" s="4"/>
      <c r="AD45" s="4" t="s">
        <v>13</v>
      </c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12" t="s">
        <v>357</v>
      </c>
      <c r="AU45" s="4" t="s">
        <v>368</v>
      </c>
      <c r="AV45" s="4" t="s">
        <v>684</v>
      </c>
      <c r="AW45" s="4" t="s">
        <v>687</v>
      </c>
      <c r="AX45" s="4" t="s">
        <v>690</v>
      </c>
      <c r="AY45" s="4" t="s">
        <v>371</v>
      </c>
      <c r="AZ45" s="13" t="s">
        <v>14</v>
      </c>
      <c r="BA45" s="4" t="s">
        <v>268</v>
      </c>
      <c r="BB45" s="4" t="s">
        <v>268</v>
      </c>
      <c r="BC45" s="13" t="s">
        <v>377</v>
      </c>
      <c r="BD45" s="4">
        <v>1</v>
      </c>
      <c r="BE45" s="4" t="s">
        <v>457</v>
      </c>
      <c r="BF45" s="13" t="s">
        <v>456</v>
      </c>
      <c r="BG45" s="3"/>
    </row>
    <row r="46" spans="1:59" ht="28.5" hidden="1">
      <c r="A46" s="4">
        <v>43</v>
      </c>
      <c r="B46" s="4" t="s">
        <v>37</v>
      </c>
      <c r="C46" s="4" t="s">
        <v>7</v>
      </c>
      <c r="D46" s="4">
        <v>2015</v>
      </c>
      <c r="E46" s="1" t="s">
        <v>81</v>
      </c>
      <c r="F46" s="13" t="s">
        <v>64</v>
      </c>
      <c r="G46" s="4"/>
      <c r="L46" s="6" t="s">
        <v>252</v>
      </c>
      <c r="M46" s="4" t="s">
        <v>266</v>
      </c>
      <c r="N46" s="13" t="s">
        <v>263</v>
      </c>
      <c r="O46" s="4"/>
      <c r="P46" s="4"/>
      <c r="Q46" s="4"/>
      <c r="R46" s="4"/>
      <c r="S46" s="4"/>
      <c r="T46" s="4"/>
      <c r="U46" s="4" t="s">
        <v>13</v>
      </c>
      <c r="V46" s="4"/>
      <c r="W46" s="4"/>
      <c r="X46" s="4"/>
      <c r="Y46" s="4"/>
      <c r="Z46" s="4"/>
      <c r="AA46" s="4"/>
      <c r="AB46" s="4"/>
      <c r="AC46" s="4"/>
      <c r="AD46" s="4" t="s">
        <v>13</v>
      </c>
      <c r="AE46" s="4" t="s">
        <v>13</v>
      </c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12" t="s">
        <v>358</v>
      </c>
      <c r="AU46" s="4" t="s">
        <v>368</v>
      </c>
      <c r="AV46" s="4" t="s">
        <v>684</v>
      </c>
      <c r="AW46" s="4" t="s">
        <v>687</v>
      </c>
      <c r="AX46" s="4" t="s">
        <v>690</v>
      </c>
      <c r="AY46" s="4" t="s">
        <v>371</v>
      </c>
      <c r="AZ46" s="13" t="s">
        <v>14</v>
      </c>
      <c r="BA46" s="4" t="s">
        <v>268</v>
      </c>
      <c r="BB46" s="4" t="s">
        <v>268</v>
      </c>
      <c r="BC46" s="13" t="s">
        <v>268</v>
      </c>
      <c r="BD46" s="4">
        <v>3</v>
      </c>
      <c r="BE46" s="4" t="s">
        <v>457</v>
      </c>
      <c r="BF46" s="13" t="s">
        <v>457</v>
      </c>
      <c r="BG46" s="3"/>
    </row>
    <row r="47" spans="1:59" ht="28.5" hidden="1">
      <c r="A47" s="4">
        <v>44</v>
      </c>
      <c r="B47" s="4" t="s">
        <v>37</v>
      </c>
      <c r="C47" s="4" t="s">
        <v>7</v>
      </c>
      <c r="D47" s="4">
        <v>2015</v>
      </c>
      <c r="E47" s="1" t="s">
        <v>82</v>
      </c>
      <c r="F47" s="13" t="s">
        <v>64</v>
      </c>
      <c r="G47" s="4"/>
      <c r="L47" s="6" t="s">
        <v>252</v>
      </c>
      <c r="M47" s="4" t="s">
        <v>266</v>
      </c>
      <c r="N47" s="13" t="s">
        <v>263</v>
      </c>
      <c r="O47" s="4"/>
      <c r="P47" s="4"/>
      <c r="Q47" s="4"/>
      <c r="R47" s="4"/>
      <c r="S47" s="4"/>
      <c r="T47" s="4"/>
      <c r="U47" s="4"/>
      <c r="V47" s="4"/>
      <c r="W47" s="4"/>
      <c r="X47" s="4"/>
      <c r="Y47" s="4" t="s">
        <v>13</v>
      </c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12" t="s">
        <v>357</v>
      </c>
      <c r="AU47" s="4" t="s">
        <v>368</v>
      </c>
      <c r="AV47" s="4" t="s">
        <v>684</v>
      </c>
      <c r="AW47" s="4" t="s">
        <v>687</v>
      </c>
      <c r="AX47" s="4" t="s">
        <v>690</v>
      </c>
      <c r="AY47" s="4" t="s">
        <v>371</v>
      </c>
      <c r="AZ47" s="13" t="s">
        <v>14</v>
      </c>
      <c r="BA47" s="4" t="s">
        <v>268</v>
      </c>
      <c r="BB47" s="4" t="s">
        <v>268</v>
      </c>
      <c r="BC47" s="13" t="s">
        <v>268</v>
      </c>
      <c r="BD47" s="4">
        <v>1</v>
      </c>
      <c r="BE47" s="4" t="s">
        <v>457</v>
      </c>
      <c r="BF47" s="13" t="s">
        <v>455</v>
      </c>
      <c r="BG47" s="3"/>
    </row>
    <row r="48" spans="1:59" ht="28.5" hidden="1">
      <c r="A48" s="4">
        <v>45</v>
      </c>
      <c r="B48" s="4" t="s">
        <v>37</v>
      </c>
      <c r="C48" s="4" t="s">
        <v>7</v>
      </c>
      <c r="D48" s="4">
        <v>2015</v>
      </c>
      <c r="E48" s="1" t="s">
        <v>83</v>
      </c>
      <c r="F48" s="13" t="s">
        <v>64</v>
      </c>
      <c r="G48" s="4"/>
      <c r="L48" s="6" t="s">
        <v>252</v>
      </c>
      <c r="M48" s="4" t="s">
        <v>266</v>
      </c>
      <c r="N48" s="13" t="s">
        <v>263</v>
      </c>
      <c r="O48" s="4"/>
      <c r="P48" s="4"/>
      <c r="Q48" s="4" t="s">
        <v>13</v>
      </c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 t="s">
        <v>13</v>
      </c>
      <c r="AE48" s="4"/>
      <c r="AF48" s="4"/>
      <c r="AG48" s="4"/>
      <c r="AH48" s="4" t="s">
        <v>13</v>
      </c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12" t="s">
        <v>352</v>
      </c>
      <c r="AU48" s="4" t="s">
        <v>368</v>
      </c>
      <c r="AV48" s="4" t="s">
        <v>684</v>
      </c>
      <c r="AW48" s="4" t="s">
        <v>687</v>
      </c>
      <c r="AX48" s="4" t="s">
        <v>690</v>
      </c>
      <c r="AY48" s="4" t="s">
        <v>371</v>
      </c>
      <c r="AZ48" s="13" t="s">
        <v>14</v>
      </c>
      <c r="BA48" s="4" t="s">
        <v>396</v>
      </c>
      <c r="BB48" s="4" t="s">
        <v>376</v>
      </c>
      <c r="BC48" s="13" t="s">
        <v>268</v>
      </c>
      <c r="BD48" s="4">
        <v>1</v>
      </c>
      <c r="BE48" s="4" t="s">
        <v>457</v>
      </c>
      <c r="BF48" s="13" t="s">
        <v>457</v>
      </c>
      <c r="BG48" s="3"/>
    </row>
    <row r="49" spans="1:59" ht="28.5" hidden="1">
      <c r="A49" s="4">
        <v>46</v>
      </c>
      <c r="B49" s="4" t="s">
        <v>37</v>
      </c>
      <c r="C49" s="4" t="s">
        <v>7</v>
      </c>
      <c r="D49" s="4">
        <v>2015</v>
      </c>
      <c r="E49" s="1" t="s">
        <v>84</v>
      </c>
      <c r="F49" s="13" t="s">
        <v>64</v>
      </c>
      <c r="G49" s="4"/>
      <c r="L49" s="6" t="s">
        <v>252</v>
      </c>
      <c r="M49" s="4" t="s">
        <v>266</v>
      </c>
      <c r="N49" s="13" t="s">
        <v>263</v>
      </c>
      <c r="O49" s="4"/>
      <c r="P49" s="4"/>
      <c r="Q49" s="4" t="s">
        <v>13</v>
      </c>
      <c r="R49" s="4"/>
      <c r="S49" s="4"/>
      <c r="T49" s="4" t="s">
        <v>13</v>
      </c>
      <c r="U49" s="4" t="s">
        <v>13</v>
      </c>
      <c r="V49" s="4"/>
      <c r="W49" s="4"/>
      <c r="X49" s="4"/>
      <c r="Y49" s="4"/>
      <c r="Z49" s="4"/>
      <c r="AA49" s="4"/>
      <c r="AB49" s="4"/>
      <c r="AC49" s="4"/>
      <c r="AD49" s="4" t="s">
        <v>13</v>
      </c>
      <c r="AE49" s="4" t="s">
        <v>13</v>
      </c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12" t="s">
        <v>352</v>
      </c>
      <c r="AU49" s="4" t="s">
        <v>368</v>
      </c>
      <c r="AV49" s="4" t="s">
        <v>684</v>
      </c>
      <c r="AW49" s="4" t="s">
        <v>687</v>
      </c>
      <c r="AX49" s="4" t="s">
        <v>690</v>
      </c>
      <c r="AY49" s="4" t="s">
        <v>371</v>
      </c>
      <c r="AZ49" s="13" t="s">
        <v>14</v>
      </c>
      <c r="BA49" s="4" t="s">
        <v>268</v>
      </c>
      <c r="BB49" s="4" t="s">
        <v>376</v>
      </c>
      <c r="BC49" s="13" t="s">
        <v>268</v>
      </c>
      <c r="BD49" s="4">
        <v>2</v>
      </c>
      <c r="BE49" s="4" t="s">
        <v>457</v>
      </c>
      <c r="BF49" s="13" t="s">
        <v>456</v>
      </c>
      <c r="BG49" s="3"/>
    </row>
    <row r="50" spans="1:59" ht="28.5" hidden="1">
      <c r="A50" s="4">
        <v>47</v>
      </c>
      <c r="B50" s="4" t="s">
        <v>37</v>
      </c>
      <c r="C50" s="4" t="s">
        <v>7</v>
      </c>
      <c r="D50" s="4">
        <v>2015</v>
      </c>
      <c r="E50" s="1" t="s">
        <v>85</v>
      </c>
      <c r="F50" s="13" t="s">
        <v>64</v>
      </c>
      <c r="G50" s="4"/>
      <c r="L50" s="6" t="s">
        <v>252</v>
      </c>
      <c r="M50" s="4" t="s">
        <v>266</v>
      </c>
      <c r="N50" s="13" t="s">
        <v>263</v>
      </c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 t="s">
        <v>13</v>
      </c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12" t="s">
        <v>352</v>
      </c>
      <c r="AU50" s="4" t="s">
        <v>368</v>
      </c>
      <c r="AV50" s="4" t="s">
        <v>684</v>
      </c>
      <c r="AW50" s="4" t="s">
        <v>687</v>
      </c>
      <c r="AX50" s="4" t="s">
        <v>690</v>
      </c>
      <c r="AY50" s="4" t="s">
        <v>371</v>
      </c>
      <c r="AZ50" s="13" t="s">
        <v>14</v>
      </c>
      <c r="BA50" s="4" t="s">
        <v>396</v>
      </c>
      <c r="BB50" s="4" t="s">
        <v>376</v>
      </c>
      <c r="BC50" s="13" t="s">
        <v>401</v>
      </c>
      <c r="BD50" s="4">
        <v>2</v>
      </c>
      <c r="BE50" s="4" t="s">
        <v>457</v>
      </c>
      <c r="BF50" s="13" t="s">
        <v>456</v>
      </c>
      <c r="BG50" s="3"/>
    </row>
    <row r="51" spans="1:59" ht="28.5" hidden="1">
      <c r="A51" s="4">
        <v>48</v>
      </c>
      <c r="B51" s="4" t="s">
        <v>37</v>
      </c>
      <c r="C51" s="4" t="s">
        <v>7</v>
      </c>
      <c r="D51" s="4">
        <v>2015</v>
      </c>
      <c r="E51" s="1" t="s">
        <v>86</v>
      </c>
      <c r="F51" s="13" t="s">
        <v>64</v>
      </c>
      <c r="G51" s="4"/>
      <c r="L51" s="6" t="s">
        <v>252</v>
      </c>
      <c r="M51" s="4" t="s">
        <v>266</v>
      </c>
      <c r="N51" s="13" t="s">
        <v>263</v>
      </c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 t="s">
        <v>13</v>
      </c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12" t="s">
        <v>358</v>
      </c>
      <c r="AU51" s="4" t="s">
        <v>368</v>
      </c>
      <c r="AV51" s="4" t="s">
        <v>684</v>
      </c>
      <c r="AW51" s="4" t="s">
        <v>687</v>
      </c>
      <c r="AX51" s="4" t="s">
        <v>690</v>
      </c>
      <c r="AY51" s="4" t="s">
        <v>371</v>
      </c>
      <c r="AZ51" s="13" t="s">
        <v>14</v>
      </c>
      <c r="BA51" s="4" t="s">
        <v>396</v>
      </c>
      <c r="BB51" s="4" t="s">
        <v>402</v>
      </c>
      <c r="BC51" s="13" t="s">
        <v>268</v>
      </c>
      <c r="BD51" s="4">
        <v>3</v>
      </c>
      <c r="BE51" s="4" t="s">
        <v>457</v>
      </c>
      <c r="BF51" s="13" t="s">
        <v>457</v>
      </c>
      <c r="BG51" s="3"/>
    </row>
    <row r="52" spans="1:59" ht="28.5" hidden="1">
      <c r="A52" s="4">
        <v>49</v>
      </c>
      <c r="B52" s="4" t="s">
        <v>37</v>
      </c>
      <c r="C52" s="4" t="s">
        <v>7</v>
      </c>
      <c r="D52" s="4">
        <v>2015</v>
      </c>
      <c r="E52" s="1" t="s">
        <v>87</v>
      </c>
      <c r="F52" s="13" t="s">
        <v>64</v>
      </c>
      <c r="G52" s="4"/>
      <c r="L52" s="6" t="s">
        <v>252</v>
      </c>
      <c r="M52" s="4" t="s">
        <v>266</v>
      </c>
      <c r="N52" s="13" t="s">
        <v>263</v>
      </c>
      <c r="O52" s="4"/>
      <c r="P52" s="4"/>
      <c r="Q52" s="4"/>
      <c r="R52" s="4"/>
      <c r="S52" s="4"/>
      <c r="T52" s="4"/>
      <c r="U52" s="4" t="s">
        <v>13</v>
      </c>
      <c r="V52" s="4"/>
      <c r="W52" s="4"/>
      <c r="X52" s="4"/>
      <c r="Y52" s="4"/>
      <c r="Z52" s="4"/>
      <c r="AA52" s="4"/>
      <c r="AB52" s="4"/>
      <c r="AC52" s="4"/>
      <c r="AD52" s="4" t="s">
        <v>13</v>
      </c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12" t="s">
        <v>357</v>
      </c>
      <c r="AU52" s="4" t="s">
        <v>368</v>
      </c>
      <c r="AV52" s="4" t="s">
        <v>684</v>
      </c>
      <c r="AW52" s="4" t="s">
        <v>687</v>
      </c>
      <c r="AX52" s="4" t="s">
        <v>690</v>
      </c>
      <c r="AY52" s="4" t="s">
        <v>371</v>
      </c>
      <c r="AZ52" s="13" t="s">
        <v>14</v>
      </c>
      <c r="BA52" s="4" t="s">
        <v>268</v>
      </c>
      <c r="BB52" s="4" t="s">
        <v>376</v>
      </c>
      <c r="BC52" s="13" t="s">
        <v>399</v>
      </c>
      <c r="BD52" s="4">
        <v>1</v>
      </c>
      <c r="BE52" s="4" t="s">
        <v>457</v>
      </c>
      <c r="BF52" s="13" t="s">
        <v>456</v>
      </c>
      <c r="BG52" s="3"/>
    </row>
    <row r="53" spans="1:59" ht="28.5" hidden="1">
      <c r="A53" s="4">
        <v>50</v>
      </c>
      <c r="B53" s="4" t="s">
        <v>37</v>
      </c>
      <c r="C53" s="4" t="s">
        <v>7</v>
      </c>
      <c r="D53" s="4">
        <v>2015</v>
      </c>
      <c r="E53" s="1" t="s">
        <v>88</v>
      </c>
      <c r="F53" s="13" t="s">
        <v>64</v>
      </c>
      <c r="G53" s="4"/>
      <c r="L53" s="6" t="s">
        <v>252</v>
      </c>
      <c r="M53" s="4" t="s">
        <v>266</v>
      </c>
      <c r="N53" s="13" t="s">
        <v>263</v>
      </c>
      <c r="O53" s="4"/>
      <c r="P53" s="4"/>
      <c r="Q53" s="4" t="s">
        <v>13</v>
      </c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 t="s">
        <v>13</v>
      </c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12" t="s">
        <v>352</v>
      </c>
      <c r="AU53" s="4" t="s">
        <v>368</v>
      </c>
      <c r="AV53" s="4" t="s">
        <v>684</v>
      </c>
      <c r="AW53" s="4" t="s">
        <v>687</v>
      </c>
      <c r="AX53" s="4" t="s">
        <v>690</v>
      </c>
      <c r="AY53" s="4" t="s">
        <v>371</v>
      </c>
      <c r="AZ53" s="13" t="s">
        <v>14</v>
      </c>
      <c r="BA53" s="4" t="s">
        <v>268</v>
      </c>
      <c r="BB53" s="4" t="s">
        <v>268</v>
      </c>
      <c r="BC53" s="13" t="s">
        <v>399</v>
      </c>
      <c r="BD53" s="4">
        <v>2</v>
      </c>
      <c r="BE53" s="4" t="s">
        <v>454</v>
      </c>
      <c r="BF53" s="13" t="s">
        <v>457</v>
      </c>
      <c r="BG53" s="3"/>
    </row>
    <row r="54" spans="1:59" ht="28.5" hidden="1">
      <c r="A54" s="4">
        <v>51</v>
      </c>
      <c r="B54" s="4" t="s">
        <v>37</v>
      </c>
      <c r="C54" s="4" t="s">
        <v>7</v>
      </c>
      <c r="D54" s="4">
        <v>2015</v>
      </c>
      <c r="E54" s="1" t="s">
        <v>89</v>
      </c>
      <c r="F54" s="13" t="s">
        <v>64</v>
      </c>
      <c r="G54" s="4"/>
      <c r="L54" s="6" t="s">
        <v>252</v>
      </c>
      <c r="M54" s="4" t="s">
        <v>266</v>
      </c>
      <c r="N54" s="13" t="s">
        <v>263</v>
      </c>
      <c r="O54" s="4"/>
      <c r="P54" s="4"/>
      <c r="Q54" s="4"/>
      <c r="R54" s="4"/>
      <c r="S54" s="4"/>
      <c r="T54" s="4"/>
      <c r="U54" s="4" t="s">
        <v>13</v>
      </c>
      <c r="V54" s="4"/>
      <c r="W54" s="4"/>
      <c r="X54" s="4"/>
      <c r="Y54" s="4"/>
      <c r="Z54" s="4"/>
      <c r="AA54" s="4"/>
      <c r="AB54" s="4"/>
      <c r="AC54" s="4"/>
      <c r="AD54" s="4" t="s">
        <v>13</v>
      </c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12" t="s">
        <v>358</v>
      </c>
      <c r="AU54" s="4" t="s">
        <v>368</v>
      </c>
      <c r="AV54" s="4" t="s">
        <v>684</v>
      </c>
      <c r="AW54" s="4" t="s">
        <v>687</v>
      </c>
      <c r="AX54" s="4" t="s">
        <v>690</v>
      </c>
      <c r="AY54" s="4" t="s">
        <v>371</v>
      </c>
      <c r="AZ54" s="13" t="s">
        <v>14</v>
      </c>
      <c r="BA54" s="4" t="s">
        <v>268</v>
      </c>
      <c r="BB54" s="4" t="s">
        <v>268</v>
      </c>
      <c r="BC54" s="13" t="s">
        <v>268</v>
      </c>
      <c r="BD54" s="4">
        <v>2</v>
      </c>
      <c r="BE54" s="4" t="s">
        <v>454</v>
      </c>
      <c r="BF54" s="13" t="s">
        <v>457</v>
      </c>
      <c r="BG54" s="3"/>
    </row>
    <row r="55" spans="1:59" ht="28.5" hidden="1">
      <c r="A55" s="4">
        <v>52</v>
      </c>
      <c r="B55" s="4" t="s">
        <v>37</v>
      </c>
      <c r="C55" s="4" t="s">
        <v>7</v>
      </c>
      <c r="D55" s="4">
        <v>2015</v>
      </c>
      <c r="E55" s="1" t="s">
        <v>90</v>
      </c>
      <c r="F55" s="13" t="s">
        <v>64</v>
      </c>
      <c r="G55" s="4"/>
      <c r="L55" s="6" t="s">
        <v>252</v>
      </c>
      <c r="M55" s="4" t="s">
        <v>266</v>
      </c>
      <c r="N55" s="13" t="s">
        <v>263</v>
      </c>
      <c r="O55" s="4"/>
      <c r="P55" s="4" t="s">
        <v>13</v>
      </c>
      <c r="Q55" s="4"/>
      <c r="R55" s="4"/>
      <c r="S55" s="4"/>
      <c r="T55" s="4"/>
      <c r="U55" s="4" t="s">
        <v>13</v>
      </c>
      <c r="V55" s="4"/>
      <c r="W55" s="4"/>
      <c r="X55" s="4"/>
      <c r="Y55" s="4"/>
      <c r="Z55" s="4"/>
      <c r="AA55" s="4"/>
      <c r="AB55" s="4"/>
      <c r="AC55" s="4"/>
      <c r="AD55" s="4" t="s">
        <v>13</v>
      </c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12" t="s">
        <v>357</v>
      </c>
      <c r="AU55" s="4" t="s">
        <v>368</v>
      </c>
      <c r="AV55" s="4" t="s">
        <v>684</v>
      </c>
      <c r="AW55" s="4" t="s">
        <v>687</v>
      </c>
      <c r="AX55" s="4" t="s">
        <v>690</v>
      </c>
      <c r="AY55" s="4" t="s">
        <v>371</v>
      </c>
      <c r="AZ55" s="13" t="s">
        <v>14</v>
      </c>
      <c r="BA55" s="4" t="s">
        <v>268</v>
      </c>
      <c r="BB55" s="4" t="s">
        <v>268</v>
      </c>
      <c r="BC55" s="13" t="s">
        <v>268</v>
      </c>
      <c r="BD55" s="4">
        <v>2</v>
      </c>
      <c r="BE55" s="4" t="s">
        <v>454</v>
      </c>
      <c r="BF55" s="13" t="s">
        <v>457</v>
      </c>
      <c r="BG55" s="3"/>
    </row>
    <row r="56" spans="1:59" ht="28.5" hidden="1">
      <c r="A56" s="4">
        <v>53</v>
      </c>
      <c r="B56" s="4" t="s">
        <v>37</v>
      </c>
      <c r="C56" s="4" t="s">
        <v>7</v>
      </c>
      <c r="D56" s="4">
        <v>2015</v>
      </c>
      <c r="E56" s="1" t="s">
        <v>91</v>
      </c>
      <c r="F56" s="13" t="s">
        <v>64</v>
      </c>
      <c r="G56" s="4"/>
      <c r="L56" s="6" t="s">
        <v>252</v>
      </c>
      <c r="M56" s="4" t="s">
        <v>266</v>
      </c>
      <c r="N56" s="13" t="s">
        <v>263</v>
      </c>
      <c r="O56" s="4" t="s">
        <v>13</v>
      </c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 t="s">
        <v>13</v>
      </c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12" t="s">
        <v>358</v>
      </c>
      <c r="AU56" s="4" t="s">
        <v>368</v>
      </c>
      <c r="AV56" s="4" t="s">
        <v>684</v>
      </c>
      <c r="AW56" s="4" t="s">
        <v>687</v>
      </c>
      <c r="AX56" s="4" t="s">
        <v>690</v>
      </c>
      <c r="AY56" s="4" t="s">
        <v>371</v>
      </c>
      <c r="AZ56" s="13" t="s">
        <v>14</v>
      </c>
      <c r="BA56" s="4" t="s">
        <v>268</v>
      </c>
      <c r="BB56" s="4" t="s">
        <v>446</v>
      </c>
      <c r="BC56" s="13" t="s">
        <v>399</v>
      </c>
      <c r="BD56" s="4">
        <v>3</v>
      </c>
      <c r="BE56" s="4" t="s">
        <v>457</v>
      </c>
      <c r="BF56" s="13" t="s">
        <v>456</v>
      </c>
      <c r="BG56" s="3"/>
    </row>
    <row r="57" spans="1:59" ht="28.5" hidden="1">
      <c r="A57" s="4">
        <v>54</v>
      </c>
      <c r="B57" s="4" t="s">
        <v>37</v>
      </c>
      <c r="C57" s="4" t="s">
        <v>7</v>
      </c>
      <c r="D57" s="4">
        <v>2015</v>
      </c>
      <c r="E57" s="1" t="s">
        <v>92</v>
      </c>
      <c r="F57" s="13" t="s">
        <v>64</v>
      </c>
      <c r="G57" s="4"/>
      <c r="L57" s="6" t="s">
        <v>252</v>
      </c>
      <c r="M57" s="4" t="s">
        <v>266</v>
      </c>
      <c r="N57" s="13" t="s">
        <v>263</v>
      </c>
      <c r="O57" s="4"/>
      <c r="P57" s="4"/>
      <c r="Q57" s="4"/>
      <c r="R57" s="4"/>
      <c r="S57" s="4"/>
      <c r="T57" s="4" t="s">
        <v>13</v>
      </c>
      <c r="U57" s="4" t="s">
        <v>13</v>
      </c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12" t="s">
        <v>357</v>
      </c>
      <c r="AU57" s="4" t="s">
        <v>368</v>
      </c>
      <c r="AV57" s="4" t="s">
        <v>684</v>
      </c>
      <c r="AW57" s="4" t="s">
        <v>687</v>
      </c>
      <c r="AX57" s="4" t="s">
        <v>690</v>
      </c>
      <c r="AY57" s="4" t="s">
        <v>371</v>
      </c>
      <c r="AZ57" s="13" t="s">
        <v>14</v>
      </c>
      <c r="BA57" s="4" t="s">
        <v>268</v>
      </c>
      <c r="BB57" s="4" t="s">
        <v>268</v>
      </c>
      <c r="BC57" s="13" t="s">
        <v>268</v>
      </c>
      <c r="BD57" s="4">
        <v>2</v>
      </c>
      <c r="BE57" s="4" t="s">
        <v>457</v>
      </c>
      <c r="BF57" s="13" t="s">
        <v>457</v>
      </c>
      <c r="BG57" s="3"/>
    </row>
    <row r="58" spans="1:59" ht="28.5" hidden="1">
      <c r="A58" s="4">
        <v>55</v>
      </c>
      <c r="B58" s="4" t="s">
        <v>37</v>
      </c>
      <c r="C58" s="4" t="s">
        <v>7</v>
      </c>
      <c r="D58" s="4">
        <v>2015</v>
      </c>
      <c r="E58" s="1" t="s">
        <v>93</v>
      </c>
      <c r="F58" s="13" t="s">
        <v>64</v>
      </c>
      <c r="G58" s="4"/>
      <c r="L58" s="6" t="s">
        <v>252</v>
      </c>
      <c r="M58" s="4" t="s">
        <v>266</v>
      </c>
      <c r="N58" s="13" t="s">
        <v>263</v>
      </c>
      <c r="O58" s="4"/>
      <c r="P58" s="4"/>
      <c r="Q58" s="4" t="s">
        <v>13</v>
      </c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 t="s">
        <v>13</v>
      </c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12" t="s">
        <v>352</v>
      </c>
      <c r="AU58" s="4" t="s">
        <v>368</v>
      </c>
      <c r="AV58" s="4" t="s">
        <v>684</v>
      </c>
      <c r="AW58" s="4" t="s">
        <v>687</v>
      </c>
      <c r="AX58" s="4" t="s">
        <v>690</v>
      </c>
      <c r="AY58" s="4" t="s">
        <v>371</v>
      </c>
      <c r="AZ58" s="13" t="s">
        <v>14</v>
      </c>
      <c r="BA58" s="4" t="s">
        <v>268</v>
      </c>
      <c r="BB58" s="4" t="s">
        <v>268</v>
      </c>
      <c r="BC58" s="13" t="s">
        <v>268</v>
      </c>
      <c r="BD58" s="4">
        <v>1</v>
      </c>
      <c r="BE58" s="4" t="s">
        <v>457</v>
      </c>
      <c r="BF58" s="13" t="s">
        <v>456</v>
      </c>
      <c r="BG58" s="3"/>
    </row>
    <row r="59" spans="1:59" ht="28.5" hidden="1">
      <c r="A59" s="4">
        <v>56</v>
      </c>
      <c r="B59" s="4" t="s">
        <v>37</v>
      </c>
      <c r="C59" s="4" t="s">
        <v>7</v>
      </c>
      <c r="D59" s="4">
        <v>2015</v>
      </c>
      <c r="E59" s="1" t="s">
        <v>94</v>
      </c>
      <c r="F59" s="13" t="s">
        <v>64</v>
      </c>
      <c r="G59" s="4"/>
      <c r="L59" s="6" t="s">
        <v>252</v>
      </c>
      <c r="M59" s="4" t="s">
        <v>266</v>
      </c>
      <c r="N59" s="13" t="s">
        <v>263</v>
      </c>
      <c r="O59" s="4"/>
      <c r="P59" s="4" t="s">
        <v>13</v>
      </c>
      <c r="Q59" s="4"/>
      <c r="R59" s="4"/>
      <c r="S59" s="4"/>
      <c r="T59" s="4"/>
      <c r="U59" s="4" t="s">
        <v>13</v>
      </c>
      <c r="V59" s="4"/>
      <c r="W59" s="4"/>
      <c r="X59" s="4"/>
      <c r="Y59" s="4"/>
      <c r="Z59" s="4"/>
      <c r="AA59" s="4"/>
      <c r="AB59" s="4"/>
      <c r="AC59" s="4"/>
      <c r="AD59" s="4" t="s">
        <v>13</v>
      </c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12" t="s">
        <v>357</v>
      </c>
      <c r="AU59" s="4" t="s">
        <v>368</v>
      </c>
      <c r="AV59" s="4" t="s">
        <v>684</v>
      </c>
      <c r="AW59" s="4" t="s">
        <v>687</v>
      </c>
      <c r="AX59" s="4" t="s">
        <v>690</v>
      </c>
      <c r="AY59" s="4" t="s">
        <v>371</v>
      </c>
      <c r="AZ59" s="13" t="s">
        <v>14</v>
      </c>
      <c r="BA59" s="4" t="s">
        <v>268</v>
      </c>
      <c r="BB59" s="4" t="s">
        <v>376</v>
      </c>
      <c r="BC59" s="13" t="s">
        <v>399</v>
      </c>
      <c r="BD59" s="4">
        <v>1</v>
      </c>
      <c r="BE59" s="4" t="s">
        <v>457</v>
      </c>
      <c r="BF59" s="13" t="s">
        <v>456</v>
      </c>
      <c r="BG59" s="3"/>
    </row>
    <row r="60" spans="1:59" ht="28.5" hidden="1">
      <c r="A60" s="4">
        <v>57</v>
      </c>
      <c r="B60" s="4" t="s">
        <v>10</v>
      </c>
      <c r="C60" s="4" t="s">
        <v>7</v>
      </c>
      <c r="D60" s="4">
        <v>2009</v>
      </c>
      <c r="E60" s="1" t="s">
        <v>95</v>
      </c>
      <c r="F60" s="13" t="s">
        <v>96</v>
      </c>
      <c r="G60" s="4"/>
      <c r="L60" s="6" t="s">
        <v>254</v>
      </c>
      <c r="M60" s="4" t="s">
        <v>273</v>
      </c>
      <c r="N60" s="13" t="s">
        <v>268</v>
      </c>
      <c r="O60" s="4"/>
      <c r="P60" s="4"/>
      <c r="Q60" s="4"/>
      <c r="R60" s="4"/>
      <c r="S60" s="4" t="s">
        <v>13</v>
      </c>
      <c r="T60" s="4" t="s">
        <v>13</v>
      </c>
      <c r="U60" s="4" t="s">
        <v>13</v>
      </c>
      <c r="V60" s="4"/>
      <c r="W60" s="4"/>
      <c r="X60" s="4"/>
      <c r="Y60" s="4" t="s">
        <v>13</v>
      </c>
      <c r="Z60" s="4"/>
      <c r="AA60" s="4"/>
      <c r="AB60" s="4"/>
      <c r="AC60" s="4"/>
      <c r="AD60" s="4"/>
      <c r="AE60" s="4" t="s">
        <v>13</v>
      </c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12" t="s">
        <v>351</v>
      </c>
      <c r="AU60" s="4" t="s">
        <v>370</v>
      </c>
      <c r="AV60" s="4" t="s">
        <v>684</v>
      </c>
      <c r="AW60" s="4" t="s">
        <v>687</v>
      </c>
      <c r="AX60" s="4" t="s">
        <v>690</v>
      </c>
      <c r="AY60" s="4" t="s">
        <v>371</v>
      </c>
      <c r="AZ60" s="13" t="s">
        <v>374</v>
      </c>
      <c r="BA60" s="4" t="s">
        <v>268</v>
      </c>
      <c r="BB60" s="4" t="s">
        <v>376</v>
      </c>
      <c r="BC60" s="13" t="s">
        <v>399</v>
      </c>
      <c r="BD60" s="4">
        <v>2</v>
      </c>
      <c r="BE60" s="4" t="s">
        <v>456</v>
      </c>
      <c r="BF60" s="13" t="s">
        <v>456</v>
      </c>
      <c r="BG60" s="3"/>
    </row>
    <row r="61" spans="1:59" ht="28.5" hidden="1">
      <c r="A61" s="4">
        <v>58</v>
      </c>
      <c r="B61" s="4" t="s">
        <v>10</v>
      </c>
      <c r="C61" s="4" t="s">
        <v>6</v>
      </c>
      <c r="D61" s="4">
        <v>2015</v>
      </c>
      <c r="E61" s="1" t="s">
        <v>97</v>
      </c>
      <c r="F61" s="13" t="s">
        <v>98</v>
      </c>
      <c r="G61" s="4"/>
      <c r="L61" s="6" t="s">
        <v>254</v>
      </c>
      <c r="M61" s="4" t="s">
        <v>274</v>
      </c>
      <c r="N61" s="13" t="s">
        <v>308</v>
      </c>
      <c r="O61" s="4"/>
      <c r="P61" s="4"/>
      <c r="Q61" s="4"/>
      <c r="R61" s="4" t="s">
        <v>13</v>
      </c>
      <c r="S61" s="4"/>
      <c r="T61" s="4"/>
      <c r="U61" s="4" t="s">
        <v>13</v>
      </c>
      <c r="V61" s="4"/>
      <c r="W61" s="4"/>
      <c r="X61" s="4"/>
      <c r="Y61" s="4"/>
      <c r="Z61" s="4"/>
      <c r="AA61" s="4"/>
      <c r="AB61" s="4" t="s">
        <v>13</v>
      </c>
      <c r="AC61" s="4"/>
      <c r="AD61" s="4" t="s">
        <v>13</v>
      </c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12" t="s">
        <v>359</v>
      </c>
      <c r="AU61" s="4" t="s">
        <v>369</v>
      </c>
      <c r="AV61" s="4" t="s">
        <v>684</v>
      </c>
      <c r="AW61" s="4" t="s">
        <v>687</v>
      </c>
      <c r="AX61" s="4" t="s">
        <v>690</v>
      </c>
      <c r="AY61" s="4" t="s">
        <v>371</v>
      </c>
      <c r="AZ61" s="13" t="s">
        <v>374</v>
      </c>
      <c r="BA61" s="4" t="s">
        <v>378</v>
      </c>
      <c r="BB61" s="4" t="s">
        <v>403</v>
      </c>
      <c r="BC61" s="13" t="s">
        <v>400</v>
      </c>
      <c r="BD61" s="4"/>
      <c r="BE61" s="4"/>
      <c r="BF61" s="13"/>
      <c r="BG61" s="3"/>
    </row>
    <row r="62" spans="1:59" ht="28.5" hidden="1">
      <c r="A62" s="4">
        <v>59</v>
      </c>
      <c r="B62" s="4" t="s">
        <v>10</v>
      </c>
      <c r="C62" s="4" t="s">
        <v>6</v>
      </c>
      <c r="D62" s="4">
        <v>2007</v>
      </c>
      <c r="E62" s="1" t="s">
        <v>99</v>
      </c>
      <c r="F62" s="13" t="s">
        <v>100</v>
      </c>
      <c r="G62" s="4"/>
      <c r="L62" s="6" t="s">
        <v>254</v>
      </c>
      <c r="M62" s="4" t="s">
        <v>275</v>
      </c>
      <c r="N62" s="13" t="s">
        <v>268</v>
      </c>
      <c r="O62" s="4" t="s">
        <v>13</v>
      </c>
      <c r="P62" s="4"/>
      <c r="Q62" s="4"/>
      <c r="R62" s="4"/>
      <c r="S62" s="4" t="s">
        <v>13</v>
      </c>
      <c r="T62" s="4"/>
      <c r="U62" s="4" t="s">
        <v>13</v>
      </c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12" t="s">
        <v>351</v>
      </c>
      <c r="AU62" s="4" t="s">
        <v>370</v>
      </c>
      <c r="AV62" s="4" t="s">
        <v>684</v>
      </c>
      <c r="AW62" s="4" t="s">
        <v>687</v>
      </c>
      <c r="AX62" s="4" t="s">
        <v>690</v>
      </c>
      <c r="AY62" s="4" t="s">
        <v>371</v>
      </c>
      <c r="AZ62" s="13" t="s">
        <v>374</v>
      </c>
      <c r="BA62" s="4" t="s">
        <v>404</v>
      </c>
      <c r="BB62" s="4" t="s">
        <v>403</v>
      </c>
      <c r="BC62" s="13" t="s">
        <v>400</v>
      </c>
      <c r="BD62" s="4">
        <v>3</v>
      </c>
      <c r="BE62" s="4" t="s">
        <v>457</v>
      </c>
      <c r="BF62" s="13" t="s">
        <v>457</v>
      </c>
      <c r="BG62" s="3"/>
    </row>
    <row r="63" spans="1:59" ht="42.75" hidden="1">
      <c r="A63" s="4">
        <v>60</v>
      </c>
      <c r="B63" s="4" t="s">
        <v>9</v>
      </c>
      <c r="C63" s="4" t="s">
        <v>5</v>
      </c>
      <c r="D63" s="4">
        <v>2010</v>
      </c>
      <c r="E63" s="1" t="s">
        <v>101</v>
      </c>
      <c r="F63" s="13" t="s">
        <v>12</v>
      </c>
      <c r="G63" s="4"/>
      <c r="L63" s="6" t="s">
        <v>257</v>
      </c>
      <c r="M63" s="4" t="s">
        <v>276</v>
      </c>
      <c r="N63" s="13" t="s">
        <v>268</v>
      </c>
      <c r="O63" s="4"/>
      <c r="P63" s="4"/>
      <c r="Q63" s="4"/>
      <c r="R63" s="4"/>
      <c r="S63" s="4"/>
      <c r="T63" s="4" t="s">
        <v>13</v>
      </c>
      <c r="U63" s="4" t="s">
        <v>13</v>
      </c>
      <c r="V63" s="4"/>
      <c r="W63" s="4"/>
      <c r="X63" s="4"/>
      <c r="Y63" s="4"/>
      <c r="Z63" s="4"/>
      <c r="AA63" s="4"/>
      <c r="AB63" s="4"/>
      <c r="AC63" s="4"/>
      <c r="AD63" s="4" t="s">
        <v>13</v>
      </c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12" t="s">
        <v>360</v>
      </c>
      <c r="AU63" s="4" t="s">
        <v>370</v>
      </c>
      <c r="AV63" s="4" t="s">
        <v>684</v>
      </c>
      <c r="AW63" s="4" t="s">
        <v>687</v>
      </c>
      <c r="AX63" s="4" t="s">
        <v>690</v>
      </c>
      <c r="AY63" s="4" t="s">
        <v>371</v>
      </c>
      <c r="AZ63" s="13" t="s">
        <v>374</v>
      </c>
      <c r="BA63" s="4" t="s">
        <v>268</v>
      </c>
      <c r="BB63" s="4" t="s">
        <v>376</v>
      </c>
      <c r="BC63" s="13" t="s">
        <v>620</v>
      </c>
      <c r="BD63" s="4">
        <v>4</v>
      </c>
      <c r="BE63" s="4" t="s">
        <v>457</v>
      </c>
      <c r="BF63" s="13" t="s">
        <v>457</v>
      </c>
      <c r="BG63" s="3"/>
    </row>
    <row r="64" spans="1:59" ht="28.5" hidden="1">
      <c r="A64" s="4">
        <v>61</v>
      </c>
      <c r="B64" s="4" t="s">
        <v>10</v>
      </c>
      <c r="C64" s="4" t="s">
        <v>6</v>
      </c>
      <c r="D64" s="4">
        <v>2008</v>
      </c>
      <c r="E64" s="1" t="s">
        <v>102</v>
      </c>
      <c r="F64" s="13" t="s">
        <v>103</v>
      </c>
      <c r="G64" s="4"/>
      <c r="L64" s="6" t="s">
        <v>257</v>
      </c>
      <c r="M64" s="4" t="s">
        <v>277</v>
      </c>
      <c r="N64" s="13" t="s">
        <v>268</v>
      </c>
      <c r="O64" s="4"/>
      <c r="P64" s="4"/>
      <c r="Q64" s="4"/>
      <c r="R64" s="4"/>
      <c r="S64" s="4"/>
      <c r="T64" s="4"/>
      <c r="U64" s="4" t="s">
        <v>13</v>
      </c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12" t="s">
        <v>361</v>
      </c>
      <c r="AU64" s="4" t="s">
        <v>369</v>
      </c>
      <c r="AV64" s="4" t="s">
        <v>684</v>
      </c>
      <c r="AW64" s="4" t="s">
        <v>687</v>
      </c>
      <c r="AX64" s="4" t="s">
        <v>690</v>
      </c>
      <c r="AY64" s="4" t="s">
        <v>371</v>
      </c>
      <c r="AZ64" s="13" t="s">
        <v>374</v>
      </c>
      <c r="BA64" s="4" t="s">
        <v>268</v>
      </c>
      <c r="BB64" s="4" t="s">
        <v>406</v>
      </c>
      <c r="BC64" s="13" t="s">
        <v>400</v>
      </c>
      <c r="BD64" s="4">
        <v>2</v>
      </c>
      <c r="BE64" s="4" t="s">
        <v>457</v>
      </c>
      <c r="BF64" s="13" t="s">
        <v>456</v>
      </c>
      <c r="BG64" s="3"/>
    </row>
    <row r="65" spans="1:59" ht="28.5" hidden="1">
      <c r="A65" s="4">
        <v>62</v>
      </c>
      <c r="B65" s="4" t="s">
        <v>9</v>
      </c>
      <c r="C65" s="4" t="s">
        <v>5</v>
      </c>
      <c r="D65" s="4">
        <v>2010</v>
      </c>
      <c r="E65" s="1" t="s">
        <v>104</v>
      </c>
      <c r="F65" s="13" t="s">
        <v>12</v>
      </c>
      <c r="G65" s="4"/>
      <c r="L65" s="6" t="s">
        <v>257</v>
      </c>
      <c r="M65" s="4" t="s">
        <v>266</v>
      </c>
      <c r="N65" s="13" t="s">
        <v>268</v>
      </c>
      <c r="O65" s="4"/>
      <c r="P65" s="4"/>
      <c r="Q65" s="4"/>
      <c r="R65" s="4"/>
      <c r="S65" s="4"/>
      <c r="T65" s="4"/>
      <c r="U65" s="4" t="s">
        <v>13</v>
      </c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 t="s">
        <v>13</v>
      </c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12" t="s">
        <v>359</v>
      </c>
      <c r="AU65" s="4" t="s">
        <v>370</v>
      </c>
      <c r="AV65" s="4" t="s">
        <v>684</v>
      </c>
      <c r="AW65" s="4" t="s">
        <v>687</v>
      </c>
      <c r="AX65" s="4" t="s">
        <v>690</v>
      </c>
      <c r="AY65" s="4" t="s">
        <v>371</v>
      </c>
      <c r="AZ65" s="13" t="s">
        <v>374</v>
      </c>
      <c r="BA65" s="4" t="s">
        <v>350</v>
      </c>
      <c r="BB65" s="4" t="s">
        <v>403</v>
      </c>
      <c r="BC65" s="13" t="s">
        <v>400</v>
      </c>
      <c r="BD65" s="4">
        <v>4</v>
      </c>
      <c r="BE65" s="4" t="s">
        <v>454</v>
      </c>
      <c r="BF65" s="13" t="s">
        <v>457</v>
      </c>
      <c r="BG65" s="3"/>
    </row>
    <row r="66" spans="1:59" ht="28.5" hidden="1">
      <c r="A66" s="4">
        <v>63</v>
      </c>
      <c r="B66" s="4" t="s">
        <v>10</v>
      </c>
      <c r="C66" s="4" t="s">
        <v>5</v>
      </c>
      <c r="D66" s="4">
        <v>2016</v>
      </c>
      <c r="E66" s="1" t="s">
        <v>105</v>
      </c>
      <c r="F66" s="13" t="s">
        <v>106</v>
      </c>
      <c r="G66" s="4"/>
      <c r="L66" s="6" t="s">
        <v>257</v>
      </c>
      <c r="M66" s="4" t="s">
        <v>278</v>
      </c>
      <c r="N66" s="13" t="s">
        <v>268</v>
      </c>
      <c r="O66" s="4"/>
      <c r="P66" s="4" t="s">
        <v>13</v>
      </c>
      <c r="Q66" s="4"/>
      <c r="R66" s="4"/>
      <c r="S66" s="4"/>
      <c r="T66" s="4"/>
      <c r="U66" s="4" t="s">
        <v>13</v>
      </c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12" t="s">
        <v>350</v>
      </c>
      <c r="AU66" s="4" t="s">
        <v>369</v>
      </c>
      <c r="AV66" s="4" t="s">
        <v>684</v>
      </c>
      <c r="AW66" s="4" t="s">
        <v>687</v>
      </c>
      <c r="AX66" s="4" t="s">
        <v>690</v>
      </c>
      <c r="AY66" s="4" t="s">
        <v>371</v>
      </c>
      <c r="AZ66" s="13" t="s">
        <v>374</v>
      </c>
      <c r="BA66" s="4" t="s">
        <v>407</v>
      </c>
      <c r="BB66" s="4" t="s">
        <v>403</v>
      </c>
      <c r="BC66" s="13" t="s">
        <v>400</v>
      </c>
      <c r="BD66" s="4">
        <v>5</v>
      </c>
      <c r="BE66" s="4" t="s">
        <v>454</v>
      </c>
      <c r="BF66" s="13" t="s">
        <v>457</v>
      </c>
      <c r="BG66" s="3"/>
    </row>
    <row r="67" spans="1:59" ht="28.5" hidden="1">
      <c r="A67" s="4">
        <v>64</v>
      </c>
      <c r="B67" s="4" t="s">
        <v>9</v>
      </c>
      <c r="C67" s="4" t="s">
        <v>6</v>
      </c>
      <c r="D67" s="4">
        <v>2016</v>
      </c>
      <c r="E67" s="1" t="s">
        <v>107</v>
      </c>
      <c r="F67" s="13" t="s">
        <v>108</v>
      </c>
      <c r="G67" s="4"/>
      <c r="L67" s="6" t="s">
        <v>254</v>
      </c>
      <c r="M67" s="4" t="s">
        <v>279</v>
      </c>
      <c r="N67" s="13" t="s">
        <v>268</v>
      </c>
      <c r="O67" s="4" t="s">
        <v>13</v>
      </c>
      <c r="P67" s="4"/>
      <c r="Q67" s="4"/>
      <c r="R67" s="4"/>
      <c r="S67" s="4" t="s">
        <v>13</v>
      </c>
      <c r="T67" s="4"/>
      <c r="U67" s="4" t="s">
        <v>13</v>
      </c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12" t="s">
        <v>362</v>
      </c>
      <c r="AU67" s="4" t="s">
        <v>370</v>
      </c>
      <c r="AV67" s="4" t="s">
        <v>684</v>
      </c>
      <c r="AW67" s="4" t="s">
        <v>687</v>
      </c>
      <c r="AX67" s="4" t="s">
        <v>690</v>
      </c>
      <c r="AY67" s="4" t="s">
        <v>371</v>
      </c>
      <c r="AZ67" s="13" t="s">
        <v>374</v>
      </c>
      <c r="BA67" s="4" t="s">
        <v>268</v>
      </c>
      <c r="BB67" s="4" t="s">
        <v>268</v>
      </c>
      <c r="BC67" s="13" t="s">
        <v>400</v>
      </c>
      <c r="BD67" s="4">
        <v>5</v>
      </c>
      <c r="BE67" s="4" t="s">
        <v>454</v>
      </c>
      <c r="BF67" s="13" t="s">
        <v>454</v>
      </c>
      <c r="BG67" s="3"/>
    </row>
    <row r="68" spans="1:59" ht="28.5" hidden="1">
      <c r="A68" s="4">
        <v>65</v>
      </c>
      <c r="B68" s="4" t="s">
        <v>4</v>
      </c>
      <c r="C68" s="4" t="s">
        <v>6</v>
      </c>
      <c r="D68" s="4">
        <v>2005</v>
      </c>
      <c r="E68" s="1" t="s">
        <v>109</v>
      </c>
      <c r="F68" s="13" t="s">
        <v>110</v>
      </c>
      <c r="G68" s="4"/>
      <c r="L68" s="6" t="s">
        <v>253</v>
      </c>
      <c r="M68" s="4" t="s">
        <v>280</v>
      </c>
      <c r="N68" s="13" t="s">
        <v>268</v>
      </c>
      <c r="O68" s="4" t="s">
        <v>13</v>
      </c>
      <c r="P68" s="4"/>
      <c r="Q68" s="4"/>
      <c r="R68" s="4"/>
      <c r="S68" s="4"/>
      <c r="T68" s="4"/>
      <c r="U68" s="4" t="s">
        <v>13</v>
      </c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12" t="s">
        <v>351</v>
      </c>
      <c r="AU68" s="4" t="s">
        <v>369</v>
      </c>
      <c r="AV68" s="4" t="s">
        <v>684</v>
      </c>
      <c r="AW68" s="4" t="s">
        <v>687</v>
      </c>
      <c r="AX68" s="4" t="s">
        <v>690</v>
      </c>
      <c r="AY68" s="4" t="s">
        <v>371</v>
      </c>
      <c r="AZ68" s="13" t="s">
        <v>374</v>
      </c>
      <c r="BA68" s="4" t="s">
        <v>268</v>
      </c>
      <c r="BB68" s="4" t="s">
        <v>449</v>
      </c>
      <c r="BC68" s="13" t="s">
        <v>400</v>
      </c>
      <c r="BD68" s="4">
        <v>4</v>
      </c>
      <c r="BE68" s="4" t="s">
        <v>457</v>
      </c>
      <c r="BF68" s="13" t="s">
        <v>457</v>
      </c>
      <c r="BG68" s="3"/>
    </row>
    <row r="69" spans="1:59" ht="28.5" hidden="1">
      <c r="A69" s="4">
        <v>66</v>
      </c>
      <c r="B69" s="4" t="s">
        <v>4</v>
      </c>
      <c r="C69" s="4" t="s">
        <v>6</v>
      </c>
      <c r="D69" s="4">
        <v>2015</v>
      </c>
      <c r="E69" s="1" t="s">
        <v>111</v>
      </c>
      <c r="F69" s="13" t="s">
        <v>112</v>
      </c>
      <c r="G69" s="4"/>
      <c r="L69" s="6" t="s">
        <v>253</v>
      </c>
      <c r="M69" s="4" t="s">
        <v>281</v>
      </c>
      <c r="N69" s="13" t="s">
        <v>268</v>
      </c>
      <c r="O69" s="4"/>
      <c r="P69" s="4"/>
      <c r="Q69" s="4"/>
      <c r="R69" s="4"/>
      <c r="S69" s="4"/>
      <c r="T69" s="4"/>
      <c r="U69" s="4" t="s">
        <v>13</v>
      </c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12" t="s">
        <v>351</v>
      </c>
      <c r="AU69" s="4" t="s">
        <v>368</v>
      </c>
      <c r="AV69" s="4" t="s">
        <v>684</v>
      </c>
      <c r="AW69" s="4" t="s">
        <v>687</v>
      </c>
      <c r="AX69" s="4" t="s">
        <v>690</v>
      </c>
      <c r="AY69" s="4" t="s">
        <v>371</v>
      </c>
      <c r="AZ69" s="13" t="s">
        <v>14</v>
      </c>
      <c r="BA69" s="4" t="s">
        <v>404</v>
      </c>
      <c r="BB69" s="4" t="s">
        <v>449</v>
      </c>
      <c r="BC69" s="13" t="s">
        <v>268</v>
      </c>
      <c r="BD69" s="4"/>
      <c r="BE69" s="4" t="s">
        <v>456</v>
      </c>
      <c r="BF69" s="13" t="s">
        <v>456</v>
      </c>
      <c r="BG69" s="3"/>
    </row>
    <row r="70" spans="1:59" ht="16.5" hidden="1" customHeight="1">
      <c r="A70" s="4">
        <v>67</v>
      </c>
      <c r="B70" s="4" t="s">
        <v>9</v>
      </c>
      <c r="C70" s="4" t="s">
        <v>5</v>
      </c>
      <c r="D70" s="4">
        <v>2008</v>
      </c>
      <c r="E70" s="1" t="s">
        <v>113</v>
      </c>
      <c r="F70" s="13" t="s">
        <v>12</v>
      </c>
      <c r="G70" s="4"/>
      <c r="L70" s="6" t="s">
        <v>254</v>
      </c>
      <c r="M70" s="4" t="s">
        <v>282</v>
      </c>
      <c r="N70" s="13" t="s">
        <v>268</v>
      </c>
      <c r="O70" s="4" t="s">
        <v>13</v>
      </c>
      <c r="P70" s="4"/>
      <c r="Q70" s="4"/>
      <c r="R70" s="4"/>
      <c r="S70" s="4"/>
      <c r="T70" s="4"/>
      <c r="U70" s="4" t="s">
        <v>13</v>
      </c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12" t="s">
        <v>360</v>
      </c>
      <c r="AU70" s="4" t="s">
        <v>369</v>
      </c>
      <c r="AV70" s="4" t="s">
        <v>684</v>
      </c>
      <c r="AW70" s="4" t="s">
        <v>687</v>
      </c>
      <c r="AX70" s="4" t="s">
        <v>690</v>
      </c>
      <c r="AY70" s="4" t="s">
        <v>371</v>
      </c>
      <c r="AZ70" s="13" t="s">
        <v>14</v>
      </c>
      <c r="BA70" s="4" t="s">
        <v>268</v>
      </c>
      <c r="BB70" s="4" t="s">
        <v>375</v>
      </c>
      <c r="BC70" s="13" t="s">
        <v>268</v>
      </c>
      <c r="BD70" s="4"/>
      <c r="BE70" s="4" t="s">
        <v>456</v>
      </c>
      <c r="BF70" s="13" t="s">
        <v>456</v>
      </c>
      <c r="BG70" s="3"/>
    </row>
    <row r="71" spans="1:59" ht="28.5" hidden="1">
      <c r="A71" s="4">
        <v>68</v>
      </c>
      <c r="B71" s="4" t="s">
        <v>10</v>
      </c>
      <c r="C71" s="4" t="s">
        <v>6</v>
      </c>
      <c r="D71" s="4">
        <v>2014</v>
      </c>
      <c r="E71" s="1" t="s">
        <v>114</v>
      </c>
      <c r="F71" s="13" t="s">
        <v>100</v>
      </c>
      <c r="G71" s="4"/>
      <c r="L71" s="6" t="s">
        <v>258</v>
      </c>
      <c r="M71" s="4" t="s">
        <v>283</v>
      </c>
      <c r="N71" s="13" t="s">
        <v>601</v>
      </c>
      <c r="O71" s="4"/>
      <c r="P71" s="4"/>
      <c r="Q71" s="4"/>
      <c r="R71" s="4"/>
      <c r="S71" s="4"/>
      <c r="T71" s="4"/>
      <c r="U71" s="4" t="s">
        <v>13</v>
      </c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 t="s">
        <v>13</v>
      </c>
      <c r="AK71" s="4"/>
      <c r="AL71" s="4"/>
      <c r="AM71" s="4"/>
      <c r="AN71" s="4"/>
      <c r="AO71" s="4"/>
      <c r="AP71" s="4"/>
      <c r="AQ71" s="4"/>
      <c r="AR71" s="4"/>
      <c r="AS71" s="4"/>
      <c r="AT71" s="12" t="s">
        <v>359</v>
      </c>
      <c r="AU71" s="4" t="s">
        <v>370</v>
      </c>
      <c r="AV71" s="4" t="s">
        <v>684</v>
      </c>
      <c r="AW71" s="4" t="s">
        <v>687</v>
      </c>
      <c r="AX71" s="4" t="s">
        <v>690</v>
      </c>
      <c r="AY71" s="4" t="s">
        <v>371</v>
      </c>
      <c r="AZ71" s="13" t="s">
        <v>374</v>
      </c>
      <c r="BA71" s="4" t="s">
        <v>387</v>
      </c>
      <c r="BB71" s="4" t="s">
        <v>408</v>
      </c>
      <c r="BC71" s="13" t="s">
        <v>409</v>
      </c>
      <c r="BD71" s="4">
        <v>7</v>
      </c>
      <c r="BE71" s="4" t="s">
        <v>454</v>
      </c>
      <c r="BF71" s="13" t="s">
        <v>457</v>
      </c>
      <c r="BG71" s="3"/>
    </row>
    <row r="72" spans="1:59" ht="28.5" hidden="1">
      <c r="A72" s="4">
        <v>69</v>
      </c>
      <c r="B72" s="4" t="s">
        <v>10</v>
      </c>
      <c r="C72" s="4" t="s">
        <v>6</v>
      </c>
      <c r="D72" s="4">
        <v>2004</v>
      </c>
      <c r="E72" s="1" t="s">
        <v>115</v>
      </c>
      <c r="F72" s="13" t="s">
        <v>100</v>
      </c>
      <c r="G72" s="4"/>
      <c r="L72" s="6" t="s">
        <v>253</v>
      </c>
      <c r="M72" s="4" t="s">
        <v>266</v>
      </c>
      <c r="N72" s="13" t="s">
        <v>268</v>
      </c>
      <c r="O72" s="4"/>
      <c r="P72" s="4" t="s">
        <v>13</v>
      </c>
      <c r="Q72" s="4"/>
      <c r="R72" s="4"/>
      <c r="S72" s="4" t="s">
        <v>13</v>
      </c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12" t="s">
        <v>350</v>
      </c>
      <c r="AU72" s="4" t="s">
        <v>369</v>
      </c>
      <c r="AV72" s="4" t="s">
        <v>684</v>
      </c>
      <c r="AW72" s="4" t="s">
        <v>687</v>
      </c>
      <c r="AX72" s="4" t="s">
        <v>690</v>
      </c>
      <c r="AY72" s="4" t="s">
        <v>371</v>
      </c>
      <c r="AZ72" s="13" t="s">
        <v>14</v>
      </c>
      <c r="BA72" s="4" t="s">
        <v>268</v>
      </c>
      <c r="BB72" s="4" t="s">
        <v>375</v>
      </c>
      <c r="BC72" s="13" t="s">
        <v>268</v>
      </c>
      <c r="BD72" s="4"/>
      <c r="BE72" s="4" t="s">
        <v>456</v>
      </c>
      <c r="BF72" s="13" t="s">
        <v>456</v>
      </c>
      <c r="BG72" s="3"/>
    </row>
    <row r="73" spans="1:59" ht="28.5" hidden="1">
      <c r="A73" s="4">
        <v>70</v>
      </c>
      <c r="B73" s="4" t="s">
        <v>10</v>
      </c>
      <c r="C73" s="4" t="s">
        <v>5</v>
      </c>
      <c r="D73" s="4">
        <v>2007</v>
      </c>
      <c r="E73" s="1" t="s">
        <v>116</v>
      </c>
      <c r="F73" s="13" t="s">
        <v>12</v>
      </c>
      <c r="G73" s="4"/>
      <c r="L73" s="6" t="s">
        <v>253</v>
      </c>
      <c r="M73" s="4" t="s">
        <v>266</v>
      </c>
      <c r="N73" s="13" t="s">
        <v>268</v>
      </c>
      <c r="O73" s="4"/>
      <c r="P73" s="4" t="s">
        <v>13</v>
      </c>
      <c r="Q73" s="4"/>
      <c r="R73" s="4"/>
      <c r="S73" s="4" t="s">
        <v>13</v>
      </c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12" t="s">
        <v>350</v>
      </c>
      <c r="AU73" s="4" t="s">
        <v>368</v>
      </c>
      <c r="AV73" s="4" t="s">
        <v>684</v>
      </c>
      <c r="AW73" s="4" t="s">
        <v>687</v>
      </c>
      <c r="AX73" s="4" t="s">
        <v>690</v>
      </c>
      <c r="AY73" s="4" t="s">
        <v>371</v>
      </c>
      <c r="AZ73" s="13" t="s">
        <v>14</v>
      </c>
      <c r="BA73" s="4" t="s">
        <v>268</v>
      </c>
      <c r="BB73" s="4" t="s">
        <v>375</v>
      </c>
      <c r="BC73" s="13" t="s">
        <v>268</v>
      </c>
      <c r="BD73" s="4"/>
      <c r="BE73" s="4" t="s">
        <v>456</v>
      </c>
      <c r="BF73" s="13" t="s">
        <v>456</v>
      </c>
      <c r="BG73" s="3"/>
    </row>
    <row r="74" spans="1:59" ht="28.5" hidden="1">
      <c r="A74" s="4">
        <v>71</v>
      </c>
      <c r="B74" s="4" t="s">
        <v>10</v>
      </c>
      <c r="C74" s="4" t="s">
        <v>5</v>
      </c>
      <c r="D74" s="4">
        <v>2011</v>
      </c>
      <c r="E74" s="1" t="s">
        <v>117</v>
      </c>
      <c r="F74" s="13" t="s">
        <v>12</v>
      </c>
      <c r="G74" s="4"/>
      <c r="L74" s="6" t="s">
        <v>253</v>
      </c>
      <c r="M74" s="4" t="s">
        <v>266</v>
      </c>
      <c r="N74" s="13" t="s">
        <v>268</v>
      </c>
      <c r="O74" s="4"/>
      <c r="P74" s="4"/>
      <c r="Q74" s="4"/>
      <c r="R74" s="4"/>
      <c r="S74" s="4"/>
      <c r="T74" s="4" t="s">
        <v>13</v>
      </c>
      <c r="U74" s="4" t="s">
        <v>13</v>
      </c>
      <c r="V74" s="4"/>
      <c r="W74" s="4" t="s">
        <v>13</v>
      </c>
      <c r="X74" s="4"/>
      <c r="Y74" s="4"/>
      <c r="Z74" s="4"/>
      <c r="AA74" s="4"/>
      <c r="AB74" s="4"/>
      <c r="AC74" s="4"/>
      <c r="AD74" s="4" t="s">
        <v>13</v>
      </c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12" t="s">
        <v>360</v>
      </c>
      <c r="AU74" s="4" t="s">
        <v>369</v>
      </c>
      <c r="AV74" s="4" t="s">
        <v>684</v>
      </c>
      <c r="AW74" s="4" t="s">
        <v>687</v>
      </c>
      <c r="AX74" s="4" t="s">
        <v>690</v>
      </c>
      <c r="AY74" s="4" t="s">
        <v>371</v>
      </c>
      <c r="AZ74" s="13" t="s">
        <v>14</v>
      </c>
      <c r="BA74" s="4" t="s">
        <v>268</v>
      </c>
      <c r="BB74" s="4" t="s">
        <v>410</v>
      </c>
      <c r="BC74" s="13" t="s">
        <v>268</v>
      </c>
      <c r="BD74" s="4"/>
      <c r="BE74" s="4" t="s">
        <v>456</v>
      </c>
      <c r="BF74" s="13" t="s">
        <v>456</v>
      </c>
      <c r="BG74" s="3"/>
    </row>
    <row r="75" spans="1:59" ht="28.5">
      <c r="A75" s="4">
        <v>72</v>
      </c>
      <c r="B75" s="4" t="s">
        <v>10</v>
      </c>
      <c r="C75" s="4" t="s">
        <v>5</v>
      </c>
      <c r="D75" s="4">
        <v>2012</v>
      </c>
      <c r="E75" s="1" t="s">
        <v>118</v>
      </c>
      <c r="F75" s="13" t="s">
        <v>12</v>
      </c>
      <c r="G75" s="4"/>
      <c r="L75" s="6" t="s">
        <v>253</v>
      </c>
      <c r="M75" s="4" t="s">
        <v>284</v>
      </c>
      <c r="N75" s="13" t="s">
        <v>268</v>
      </c>
      <c r="O75" s="4"/>
      <c r="P75" s="4"/>
      <c r="Q75" s="4"/>
      <c r="R75" s="4"/>
      <c r="S75" s="4" t="s">
        <v>13</v>
      </c>
      <c r="T75" s="4"/>
      <c r="U75" s="4" t="s">
        <v>13</v>
      </c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12" t="s">
        <v>355</v>
      </c>
      <c r="AU75" s="4" t="s">
        <v>369</v>
      </c>
      <c r="AV75" s="4" t="s">
        <v>685</v>
      </c>
      <c r="AW75" s="4" t="s">
        <v>687</v>
      </c>
      <c r="AX75" s="4" t="s">
        <v>690</v>
      </c>
      <c r="AY75" s="4" t="s">
        <v>371</v>
      </c>
      <c r="AZ75" s="13" t="s">
        <v>14</v>
      </c>
      <c r="BA75" s="4" t="s">
        <v>268</v>
      </c>
      <c r="BB75" s="4" t="s">
        <v>411</v>
      </c>
      <c r="BC75" s="13" t="s">
        <v>268</v>
      </c>
      <c r="BD75" s="4"/>
      <c r="BE75" s="4" t="s">
        <v>456</v>
      </c>
      <c r="BF75" s="13" t="s">
        <v>456</v>
      </c>
      <c r="BG75" s="3"/>
    </row>
    <row r="76" spans="1:59" ht="28.5" hidden="1">
      <c r="A76" s="4">
        <v>73</v>
      </c>
      <c r="B76" s="4" t="s">
        <v>4</v>
      </c>
      <c r="C76" s="4" t="s">
        <v>5</v>
      </c>
      <c r="D76" s="4">
        <v>2007</v>
      </c>
      <c r="E76" s="1" t="s">
        <v>119</v>
      </c>
      <c r="F76" s="13" t="s">
        <v>120</v>
      </c>
      <c r="G76" s="4"/>
      <c r="L76" s="6" t="s">
        <v>253</v>
      </c>
      <c r="M76" s="4" t="s">
        <v>285</v>
      </c>
      <c r="N76" s="13" t="s">
        <v>268</v>
      </c>
      <c r="O76" s="4"/>
      <c r="P76" s="4"/>
      <c r="Q76" s="4"/>
      <c r="R76" s="4"/>
      <c r="S76" s="4"/>
      <c r="T76" s="4"/>
      <c r="U76" s="4" t="s">
        <v>13</v>
      </c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12" t="s">
        <v>355</v>
      </c>
      <c r="AU76" s="4" t="s">
        <v>368</v>
      </c>
      <c r="AV76" s="4" t="s">
        <v>684</v>
      </c>
      <c r="AW76" s="4" t="s">
        <v>687</v>
      </c>
      <c r="AX76" s="4" t="s">
        <v>690</v>
      </c>
      <c r="AY76" s="4" t="s">
        <v>371</v>
      </c>
      <c r="AZ76" s="13" t="s">
        <v>14</v>
      </c>
      <c r="BA76" s="4" t="s">
        <v>268</v>
      </c>
      <c r="BB76" s="4" t="s">
        <v>268</v>
      </c>
      <c r="BC76" s="13" t="s">
        <v>268</v>
      </c>
      <c r="BD76" s="4">
        <v>2</v>
      </c>
      <c r="BE76" s="4" t="s">
        <v>457</v>
      </c>
      <c r="BF76" s="13" t="s">
        <v>456</v>
      </c>
      <c r="BG76" s="3"/>
    </row>
    <row r="77" spans="1:59" ht="28.5" hidden="1">
      <c r="A77" s="4">
        <v>74</v>
      </c>
      <c r="B77" s="4" t="s">
        <v>10</v>
      </c>
      <c r="C77" s="4" t="s">
        <v>6</v>
      </c>
      <c r="D77" s="4">
        <v>2016</v>
      </c>
      <c r="E77" s="1" t="s">
        <v>121</v>
      </c>
      <c r="F77" s="13" t="s">
        <v>100</v>
      </c>
      <c r="G77" s="4"/>
      <c r="L77" s="6" t="s">
        <v>253</v>
      </c>
      <c r="M77" s="4" t="s">
        <v>286</v>
      </c>
      <c r="N77" s="13" t="s">
        <v>268</v>
      </c>
      <c r="O77" s="4"/>
      <c r="P77" s="4"/>
      <c r="Q77" s="4"/>
      <c r="R77" s="4"/>
      <c r="S77" s="4" t="s">
        <v>13</v>
      </c>
      <c r="T77" s="4"/>
      <c r="U77" s="4" t="s">
        <v>13</v>
      </c>
      <c r="V77" s="4"/>
      <c r="W77" s="4"/>
      <c r="X77" s="4"/>
      <c r="Y77" s="4"/>
      <c r="Z77" s="4"/>
      <c r="AA77" s="4"/>
      <c r="AB77" s="4" t="s">
        <v>13</v>
      </c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12" t="s">
        <v>363</v>
      </c>
      <c r="AU77" s="4" t="s">
        <v>368</v>
      </c>
      <c r="AV77" s="4" t="s">
        <v>684</v>
      </c>
      <c r="AW77" s="4" t="s">
        <v>687</v>
      </c>
      <c r="AX77" s="4" t="s">
        <v>690</v>
      </c>
      <c r="AY77" s="4" t="s">
        <v>371</v>
      </c>
      <c r="AZ77" s="13" t="s">
        <v>14</v>
      </c>
      <c r="BA77" s="4" t="s">
        <v>268</v>
      </c>
      <c r="BB77" s="4" t="s">
        <v>412</v>
      </c>
      <c r="BC77" s="13" t="s">
        <v>268</v>
      </c>
      <c r="BD77" s="4">
        <v>4</v>
      </c>
      <c r="BE77" s="4" t="s">
        <v>454</v>
      </c>
      <c r="BF77" s="13" t="s">
        <v>457</v>
      </c>
      <c r="BG77" s="3"/>
    </row>
    <row r="78" spans="1:59" ht="28.5" hidden="1">
      <c r="A78" s="4">
        <v>75</v>
      </c>
      <c r="B78" s="4" t="s">
        <v>10</v>
      </c>
      <c r="C78" s="4" t="s">
        <v>6</v>
      </c>
      <c r="D78" s="4">
        <v>2014</v>
      </c>
      <c r="E78" s="1" t="s">
        <v>122</v>
      </c>
      <c r="F78" s="13" t="s">
        <v>100</v>
      </c>
      <c r="G78" s="4"/>
      <c r="L78" s="6" t="s">
        <v>253</v>
      </c>
      <c r="M78" s="4" t="s">
        <v>266</v>
      </c>
      <c r="N78" s="13" t="s">
        <v>268</v>
      </c>
      <c r="O78" s="4"/>
      <c r="P78" s="4"/>
      <c r="Q78" s="4" t="s">
        <v>13</v>
      </c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 t="s">
        <v>13</v>
      </c>
      <c r="AK78" s="4"/>
      <c r="AL78" s="4"/>
      <c r="AM78" s="4"/>
      <c r="AN78" s="4"/>
      <c r="AO78" s="4"/>
      <c r="AP78" s="4"/>
      <c r="AQ78" s="4"/>
      <c r="AR78" s="4"/>
      <c r="AS78" s="4"/>
      <c r="AT78" s="12" t="s">
        <v>352</v>
      </c>
      <c r="AU78" s="4" t="s">
        <v>368</v>
      </c>
      <c r="AV78" s="4" t="s">
        <v>684</v>
      </c>
      <c r="AW78" s="4" t="s">
        <v>687</v>
      </c>
      <c r="AX78" s="4" t="s">
        <v>690</v>
      </c>
      <c r="AY78" s="4" t="s">
        <v>371</v>
      </c>
      <c r="AZ78" s="13" t="s">
        <v>14</v>
      </c>
      <c r="BA78" s="4" t="s">
        <v>268</v>
      </c>
      <c r="BB78" s="4" t="s">
        <v>375</v>
      </c>
      <c r="BC78" s="13" t="s">
        <v>268</v>
      </c>
      <c r="BD78" s="4">
        <v>4</v>
      </c>
      <c r="BE78" s="4" t="s">
        <v>454</v>
      </c>
      <c r="BF78" s="13" t="s">
        <v>456</v>
      </c>
      <c r="BG78" s="3"/>
    </row>
    <row r="79" spans="1:59" ht="28.5" hidden="1">
      <c r="A79" s="4">
        <v>76</v>
      </c>
      <c r="C79" s="4" t="s">
        <v>6</v>
      </c>
      <c r="D79" s="4">
        <v>2007</v>
      </c>
      <c r="E79" s="1" t="s">
        <v>124</v>
      </c>
      <c r="F79" s="13" t="s">
        <v>123</v>
      </c>
      <c r="G79" s="4"/>
      <c r="L79" s="6" t="s">
        <v>253</v>
      </c>
      <c r="M79" s="4" t="s">
        <v>284</v>
      </c>
      <c r="N79" s="13" t="s">
        <v>268</v>
      </c>
      <c r="O79" s="4"/>
      <c r="P79" s="4"/>
      <c r="Q79" s="4"/>
      <c r="R79" s="4"/>
      <c r="S79" s="4" t="s">
        <v>13</v>
      </c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12" t="s">
        <v>355</v>
      </c>
      <c r="AU79" s="4" t="s">
        <v>369</v>
      </c>
      <c r="AV79" s="4" t="s">
        <v>684</v>
      </c>
      <c r="AW79" s="4" t="s">
        <v>687</v>
      </c>
      <c r="AX79" s="4" t="s">
        <v>690</v>
      </c>
      <c r="AY79" s="4" t="s">
        <v>371</v>
      </c>
      <c r="AZ79" s="13" t="s">
        <v>14</v>
      </c>
      <c r="BA79" s="4" t="s">
        <v>268</v>
      </c>
      <c r="BB79" s="4" t="s">
        <v>375</v>
      </c>
      <c r="BC79" s="13" t="s">
        <v>268</v>
      </c>
      <c r="BD79" s="4">
        <v>3</v>
      </c>
      <c r="BE79" s="4" t="s">
        <v>457</v>
      </c>
      <c r="BF79" s="13" t="s">
        <v>456</v>
      </c>
      <c r="BG79" s="3"/>
    </row>
    <row r="80" spans="1:59" ht="28.5" hidden="1">
      <c r="A80" s="4">
        <v>77</v>
      </c>
      <c r="B80" s="4" t="s">
        <v>4</v>
      </c>
      <c r="C80" s="4" t="s">
        <v>5</v>
      </c>
      <c r="D80" s="4">
        <v>2014</v>
      </c>
      <c r="E80" s="1" t="s">
        <v>126</v>
      </c>
      <c r="F80" s="13" t="s">
        <v>125</v>
      </c>
      <c r="G80" s="4"/>
      <c r="L80" s="6" t="s">
        <v>253</v>
      </c>
      <c r="M80" s="4" t="s">
        <v>266</v>
      </c>
      <c r="N80" s="13" t="s">
        <v>268</v>
      </c>
      <c r="O80" s="4"/>
      <c r="P80" s="4"/>
      <c r="Q80" s="4"/>
      <c r="R80" s="4"/>
      <c r="S80" s="4" t="s">
        <v>13</v>
      </c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 t="s">
        <v>13</v>
      </c>
      <c r="AO80" s="4"/>
      <c r="AP80" s="4"/>
      <c r="AQ80" s="4"/>
      <c r="AR80" s="4"/>
      <c r="AS80" s="4"/>
      <c r="AT80" s="12" t="s">
        <v>351</v>
      </c>
      <c r="AU80" s="4" t="s">
        <v>369</v>
      </c>
      <c r="AV80" s="4" t="s">
        <v>684</v>
      </c>
      <c r="AW80" s="4" t="s">
        <v>687</v>
      </c>
      <c r="AX80" s="4" t="s">
        <v>690</v>
      </c>
      <c r="AY80" s="4" t="s">
        <v>371</v>
      </c>
      <c r="AZ80" s="13" t="s">
        <v>14</v>
      </c>
      <c r="BA80" s="4" t="s">
        <v>268</v>
      </c>
      <c r="BB80" s="4" t="s">
        <v>375</v>
      </c>
      <c r="BC80" s="13" t="s">
        <v>268</v>
      </c>
      <c r="BD80" s="4">
        <v>5</v>
      </c>
      <c r="BE80" s="4" t="s">
        <v>454</v>
      </c>
      <c r="BF80" s="13" t="s">
        <v>457</v>
      </c>
      <c r="BG80" s="3"/>
    </row>
    <row r="81" spans="1:59" ht="28.5" hidden="1">
      <c r="A81" s="4">
        <v>78</v>
      </c>
      <c r="C81" s="4" t="s">
        <v>6</v>
      </c>
      <c r="D81" s="4">
        <v>2015</v>
      </c>
      <c r="E81" s="1" t="s">
        <v>127</v>
      </c>
      <c r="F81" s="13" t="s">
        <v>128</v>
      </c>
      <c r="G81" s="4"/>
      <c r="L81" s="6" t="s">
        <v>253</v>
      </c>
      <c r="M81" s="4" t="s">
        <v>285</v>
      </c>
      <c r="N81" s="13" t="s">
        <v>268</v>
      </c>
      <c r="O81" s="4"/>
      <c r="P81" s="4"/>
      <c r="Q81" s="4"/>
      <c r="R81" s="4"/>
      <c r="S81" s="4" t="s">
        <v>13</v>
      </c>
      <c r="T81" s="4"/>
      <c r="U81" s="4" t="s">
        <v>13</v>
      </c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12" t="s">
        <v>355</v>
      </c>
      <c r="AU81" s="4" t="s">
        <v>368</v>
      </c>
      <c r="AV81" s="4" t="s">
        <v>684</v>
      </c>
      <c r="AW81" s="4" t="s">
        <v>687</v>
      </c>
      <c r="AX81" s="4" t="s">
        <v>690</v>
      </c>
      <c r="AY81" s="4" t="s">
        <v>371</v>
      </c>
      <c r="AZ81" s="13" t="s">
        <v>14</v>
      </c>
      <c r="BA81" s="4" t="s">
        <v>268</v>
      </c>
      <c r="BB81" s="4" t="s">
        <v>413</v>
      </c>
      <c r="BC81" s="13" t="s">
        <v>268</v>
      </c>
      <c r="BD81" s="4">
        <v>4</v>
      </c>
      <c r="BE81" s="4" t="s">
        <v>457</v>
      </c>
      <c r="BF81" s="13" t="s">
        <v>456</v>
      </c>
      <c r="BG81" s="3"/>
    </row>
    <row r="82" spans="1:59" ht="28.5" hidden="1">
      <c r="A82" s="4">
        <v>79</v>
      </c>
      <c r="B82" s="4" t="s">
        <v>130</v>
      </c>
      <c r="C82" s="4" t="s">
        <v>5</v>
      </c>
      <c r="D82" s="4">
        <v>2013</v>
      </c>
      <c r="E82" s="1" t="s">
        <v>131</v>
      </c>
      <c r="F82" s="13" t="s">
        <v>129</v>
      </c>
      <c r="G82" s="4"/>
      <c r="L82" s="6" t="s">
        <v>253</v>
      </c>
      <c r="M82" s="4" t="s">
        <v>266</v>
      </c>
      <c r="N82" s="13" t="s">
        <v>268</v>
      </c>
      <c r="O82" s="4"/>
      <c r="P82" s="4"/>
      <c r="Q82" s="4"/>
      <c r="R82" s="4"/>
      <c r="S82" s="4" t="s">
        <v>13</v>
      </c>
      <c r="T82" s="4"/>
      <c r="U82" s="4" t="s">
        <v>13</v>
      </c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12" t="s">
        <v>355</v>
      </c>
      <c r="AU82" s="4" t="s">
        <v>369</v>
      </c>
      <c r="AV82" s="4" t="s">
        <v>684</v>
      </c>
      <c r="AW82" s="4" t="s">
        <v>687</v>
      </c>
      <c r="AX82" s="4" t="s">
        <v>690</v>
      </c>
      <c r="AY82" s="4" t="s">
        <v>371</v>
      </c>
      <c r="AZ82" s="13" t="s">
        <v>14</v>
      </c>
      <c r="BA82" s="4" t="s">
        <v>389</v>
      </c>
      <c r="BB82" s="4" t="s">
        <v>405</v>
      </c>
      <c r="BC82" s="13" t="s">
        <v>268</v>
      </c>
      <c r="BD82" s="4">
        <v>3</v>
      </c>
      <c r="BE82" s="4" t="s">
        <v>457</v>
      </c>
      <c r="BF82" s="13" t="s">
        <v>457</v>
      </c>
      <c r="BG82" s="3"/>
    </row>
    <row r="83" spans="1:59" ht="28.5" hidden="1">
      <c r="A83" s="4">
        <v>80</v>
      </c>
      <c r="B83" s="4" t="s">
        <v>37</v>
      </c>
      <c r="C83" s="4" t="s">
        <v>7</v>
      </c>
      <c r="D83" s="4">
        <v>2010</v>
      </c>
      <c r="E83" s="1" t="s">
        <v>132</v>
      </c>
      <c r="F83" s="18" t="s">
        <v>64</v>
      </c>
      <c r="G83" s="4"/>
      <c r="L83" s="6" t="s">
        <v>256</v>
      </c>
      <c r="M83" s="4" t="s">
        <v>266</v>
      </c>
      <c r="N83" s="13" t="s">
        <v>263</v>
      </c>
      <c r="O83" s="4" t="s">
        <v>13</v>
      </c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 t="s">
        <v>13</v>
      </c>
      <c r="AF83" s="4"/>
      <c r="AG83" s="4"/>
      <c r="AH83" s="4" t="s">
        <v>13</v>
      </c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12" t="s">
        <v>351</v>
      </c>
      <c r="AU83" s="4" t="s">
        <v>368</v>
      </c>
      <c r="AV83" s="4" t="s">
        <v>684</v>
      </c>
      <c r="AW83" s="4" t="s">
        <v>687</v>
      </c>
      <c r="AX83" s="4" t="s">
        <v>690</v>
      </c>
      <c r="AY83" s="4" t="s">
        <v>371</v>
      </c>
      <c r="AZ83" s="13" t="s">
        <v>14</v>
      </c>
      <c r="BA83" s="4" t="s">
        <v>268</v>
      </c>
      <c r="BB83" s="4" t="s">
        <v>375</v>
      </c>
      <c r="BC83" s="13" t="s">
        <v>268</v>
      </c>
      <c r="BD83" s="4">
        <v>3</v>
      </c>
      <c r="BE83" s="4" t="s">
        <v>457</v>
      </c>
      <c r="BF83" s="13" t="s">
        <v>457</v>
      </c>
      <c r="BG83" s="3"/>
    </row>
    <row r="84" spans="1:59" ht="28.5" hidden="1">
      <c r="A84" s="4">
        <v>81</v>
      </c>
      <c r="B84" s="4" t="s">
        <v>37</v>
      </c>
      <c r="C84" s="4" t="s">
        <v>7</v>
      </c>
      <c r="D84" s="4">
        <v>2010</v>
      </c>
      <c r="E84" s="1" t="s">
        <v>133</v>
      </c>
      <c r="F84" s="18" t="s">
        <v>64</v>
      </c>
      <c r="G84" s="4"/>
      <c r="L84" s="6" t="s">
        <v>256</v>
      </c>
      <c r="M84" s="4" t="s">
        <v>266</v>
      </c>
      <c r="N84" s="13" t="s">
        <v>263</v>
      </c>
      <c r="O84" s="4" t="s">
        <v>13</v>
      </c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 t="s">
        <v>13</v>
      </c>
      <c r="AF84" s="4"/>
      <c r="AG84" s="4"/>
      <c r="AH84" s="4" t="s">
        <v>13</v>
      </c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12" t="s">
        <v>351</v>
      </c>
      <c r="AU84" s="4" t="s">
        <v>368</v>
      </c>
      <c r="AV84" s="4" t="s">
        <v>684</v>
      </c>
      <c r="AW84" s="4" t="s">
        <v>687</v>
      </c>
      <c r="AX84" s="4" t="s">
        <v>690</v>
      </c>
      <c r="AY84" s="4" t="s">
        <v>371</v>
      </c>
      <c r="AZ84" s="13" t="s">
        <v>14</v>
      </c>
      <c r="BA84" s="4" t="s">
        <v>268</v>
      </c>
      <c r="BB84" s="4" t="s">
        <v>268</v>
      </c>
      <c r="BC84" s="13" t="s">
        <v>268</v>
      </c>
      <c r="BD84" s="4">
        <v>2</v>
      </c>
      <c r="BE84" s="4" t="s">
        <v>457</v>
      </c>
      <c r="BF84" s="13" t="s">
        <v>457</v>
      </c>
      <c r="BG84" s="3"/>
    </row>
    <row r="85" spans="1:59" ht="28.5" hidden="1">
      <c r="A85" s="4">
        <v>82</v>
      </c>
      <c r="B85" s="4" t="s">
        <v>37</v>
      </c>
      <c r="C85" s="4" t="s">
        <v>7</v>
      </c>
      <c r="D85" s="4">
        <v>2010</v>
      </c>
      <c r="E85" s="1" t="s">
        <v>134</v>
      </c>
      <c r="F85" s="18" t="s">
        <v>64</v>
      </c>
      <c r="G85" s="4"/>
      <c r="L85" s="6" t="s">
        <v>256</v>
      </c>
      <c r="M85" s="4" t="s">
        <v>266</v>
      </c>
      <c r="N85" s="13" t="s">
        <v>263</v>
      </c>
      <c r="O85" s="4" t="s">
        <v>13</v>
      </c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 t="s">
        <v>13</v>
      </c>
      <c r="AF85" s="4"/>
      <c r="AG85" s="4"/>
      <c r="AH85" s="4" t="s">
        <v>13</v>
      </c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12" t="s">
        <v>351</v>
      </c>
      <c r="AU85" s="4" t="s">
        <v>368</v>
      </c>
      <c r="AV85" s="4" t="s">
        <v>684</v>
      </c>
      <c r="AW85" s="4" t="s">
        <v>687</v>
      </c>
      <c r="AX85" s="4" t="s">
        <v>690</v>
      </c>
      <c r="AY85" s="4" t="s">
        <v>371</v>
      </c>
      <c r="AZ85" s="13" t="s">
        <v>14</v>
      </c>
      <c r="BA85" s="4" t="s">
        <v>268</v>
      </c>
      <c r="BB85" s="4" t="s">
        <v>414</v>
      </c>
      <c r="BC85" s="13" t="s">
        <v>400</v>
      </c>
      <c r="BD85" s="4">
        <v>2</v>
      </c>
      <c r="BE85" s="4" t="s">
        <v>457</v>
      </c>
      <c r="BF85" s="13" t="s">
        <v>456</v>
      </c>
      <c r="BG85" s="3"/>
    </row>
    <row r="86" spans="1:59" ht="28.5" hidden="1">
      <c r="A86" s="4">
        <v>83</v>
      </c>
      <c r="B86" s="4" t="s">
        <v>37</v>
      </c>
      <c r="C86" s="4" t="s">
        <v>7</v>
      </c>
      <c r="D86" s="4">
        <v>2010</v>
      </c>
      <c r="E86" s="1" t="s">
        <v>135</v>
      </c>
      <c r="F86" s="18" t="s">
        <v>64</v>
      </c>
      <c r="G86" s="4"/>
      <c r="L86" s="6" t="s">
        <v>256</v>
      </c>
      <c r="M86" s="4" t="s">
        <v>266</v>
      </c>
      <c r="N86" s="13" t="s">
        <v>263</v>
      </c>
      <c r="O86" s="4"/>
      <c r="P86" s="4"/>
      <c r="Q86" s="4"/>
      <c r="R86" s="4"/>
      <c r="S86" s="4"/>
      <c r="T86" s="4"/>
      <c r="U86" s="4" t="s">
        <v>13</v>
      </c>
      <c r="V86" s="4"/>
      <c r="W86" s="4"/>
      <c r="X86" s="4"/>
      <c r="Y86" s="4"/>
      <c r="Z86" s="4"/>
      <c r="AA86" s="4"/>
      <c r="AB86" s="4"/>
      <c r="AC86" s="4"/>
      <c r="AD86" s="4" t="s">
        <v>13</v>
      </c>
      <c r="AE86" s="4" t="s">
        <v>13</v>
      </c>
      <c r="AF86" s="4"/>
      <c r="AG86" s="4"/>
      <c r="AH86" s="4" t="s">
        <v>13</v>
      </c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12" t="s">
        <v>351</v>
      </c>
      <c r="AU86" s="4" t="s">
        <v>368</v>
      </c>
      <c r="AV86" s="4" t="s">
        <v>684</v>
      </c>
      <c r="AW86" s="4" t="s">
        <v>687</v>
      </c>
      <c r="AX86" s="4" t="s">
        <v>690</v>
      </c>
      <c r="AY86" s="4" t="s">
        <v>371</v>
      </c>
      <c r="AZ86" s="13" t="s">
        <v>14</v>
      </c>
      <c r="BA86" s="4" t="s">
        <v>268</v>
      </c>
      <c r="BB86" s="4" t="s">
        <v>414</v>
      </c>
      <c r="BC86" s="13" t="s">
        <v>268</v>
      </c>
      <c r="BD86" s="4">
        <v>1</v>
      </c>
      <c r="BE86" s="4" t="s">
        <v>457</v>
      </c>
      <c r="BF86" s="13" t="s">
        <v>456</v>
      </c>
      <c r="BG86" s="3"/>
    </row>
    <row r="87" spans="1:59" ht="28.5" hidden="1">
      <c r="A87" s="4">
        <v>84</v>
      </c>
      <c r="B87" s="4" t="s">
        <v>37</v>
      </c>
      <c r="C87" s="4" t="s">
        <v>7</v>
      </c>
      <c r="D87" s="4">
        <v>2010</v>
      </c>
      <c r="E87" s="1" t="s">
        <v>136</v>
      </c>
      <c r="F87" s="18" t="s">
        <v>64</v>
      </c>
      <c r="G87" s="4"/>
      <c r="L87" s="6" t="s">
        <v>256</v>
      </c>
      <c r="M87" s="4" t="s">
        <v>266</v>
      </c>
      <c r="N87" s="13" t="s">
        <v>263</v>
      </c>
      <c r="O87" s="4" t="s">
        <v>13</v>
      </c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 t="s">
        <v>13</v>
      </c>
      <c r="AF87" s="4"/>
      <c r="AG87" s="4"/>
      <c r="AH87" s="4" t="s">
        <v>13</v>
      </c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12" t="s">
        <v>351</v>
      </c>
      <c r="AU87" s="4" t="s">
        <v>368</v>
      </c>
      <c r="AV87" s="4" t="s">
        <v>684</v>
      </c>
      <c r="AW87" s="4" t="s">
        <v>687</v>
      </c>
      <c r="AX87" s="4" t="s">
        <v>690</v>
      </c>
      <c r="AY87" s="4" t="s">
        <v>371</v>
      </c>
      <c r="AZ87" s="13" t="s">
        <v>14</v>
      </c>
      <c r="BA87" s="4" t="s">
        <v>268</v>
      </c>
      <c r="BB87" s="4" t="s">
        <v>410</v>
      </c>
      <c r="BC87" s="13" t="s">
        <v>268</v>
      </c>
      <c r="BD87" s="4">
        <v>1</v>
      </c>
      <c r="BE87" s="4" t="s">
        <v>457</v>
      </c>
      <c r="BF87" s="13" t="s">
        <v>456</v>
      </c>
      <c r="BG87" s="3"/>
    </row>
    <row r="88" spans="1:59" ht="28.5" hidden="1">
      <c r="A88" s="4">
        <v>85</v>
      </c>
      <c r="B88" s="4" t="s">
        <v>37</v>
      </c>
      <c r="C88" s="4" t="s">
        <v>7</v>
      </c>
      <c r="D88" s="4">
        <v>2010</v>
      </c>
      <c r="E88" s="1" t="s">
        <v>137</v>
      </c>
      <c r="F88" s="18" t="s">
        <v>64</v>
      </c>
      <c r="G88" s="4"/>
      <c r="L88" s="6" t="s">
        <v>256</v>
      </c>
      <c r="M88" s="4" t="s">
        <v>266</v>
      </c>
      <c r="N88" s="13" t="s">
        <v>263</v>
      </c>
      <c r="O88" s="4"/>
      <c r="P88" s="4"/>
      <c r="Q88" s="4"/>
      <c r="R88" s="4"/>
      <c r="S88" s="4"/>
      <c r="T88" s="4"/>
      <c r="U88" s="4" t="s">
        <v>13</v>
      </c>
      <c r="V88" s="4"/>
      <c r="W88" s="4"/>
      <c r="X88" s="4"/>
      <c r="Y88" s="4"/>
      <c r="Z88" s="4"/>
      <c r="AA88" s="4"/>
      <c r="AB88" s="4"/>
      <c r="AC88" s="4"/>
      <c r="AD88" s="4" t="s">
        <v>13</v>
      </c>
      <c r="AE88" s="4" t="s">
        <v>13</v>
      </c>
      <c r="AF88" s="4"/>
      <c r="AG88" s="4"/>
      <c r="AH88" s="4" t="s">
        <v>13</v>
      </c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12" t="s">
        <v>351</v>
      </c>
      <c r="AU88" s="4" t="s">
        <v>368</v>
      </c>
      <c r="AV88" s="4" t="s">
        <v>684</v>
      </c>
      <c r="AW88" s="4" t="s">
        <v>687</v>
      </c>
      <c r="AX88" s="4" t="s">
        <v>690</v>
      </c>
      <c r="AY88" s="4" t="s">
        <v>371</v>
      </c>
      <c r="AZ88" s="13" t="s">
        <v>14</v>
      </c>
      <c r="BA88" s="4" t="s">
        <v>268</v>
      </c>
      <c r="BB88" s="4" t="s">
        <v>268</v>
      </c>
      <c r="BC88" s="13" t="s">
        <v>268</v>
      </c>
      <c r="BD88" s="4">
        <v>2</v>
      </c>
      <c r="BE88" s="4" t="s">
        <v>457</v>
      </c>
      <c r="BF88" s="13" t="s">
        <v>456</v>
      </c>
      <c r="BG88" s="3"/>
    </row>
    <row r="89" spans="1:59" ht="28.5" hidden="1">
      <c r="A89" s="4">
        <v>86</v>
      </c>
      <c r="B89" s="4" t="s">
        <v>37</v>
      </c>
      <c r="C89" s="4" t="s">
        <v>7</v>
      </c>
      <c r="D89" s="4">
        <v>2010</v>
      </c>
      <c r="E89" s="1" t="s">
        <v>138</v>
      </c>
      <c r="F89" s="18" t="s">
        <v>64</v>
      </c>
      <c r="G89" s="4"/>
      <c r="L89" s="6" t="s">
        <v>256</v>
      </c>
      <c r="M89" s="4" t="s">
        <v>266</v>
      </c>
      <c r="N89" s="13" t="s">
        <v>263</v>
      </c>
      <c r="O89" s="4"/>
      <c r="P89" s="4"/>
      <c r="Q89" s="4"/>
      <c r="R89" s="4"/>
      <c r="S89" s="4"/>
      <c r="T89" s="4"/>
      <c r="U89" s="4" t="s">
        <v>13</v>
      </c>
      <c r="V89" s="4"/>
      <c r="W89" s="4"/>
      <c r="X89" s="4"/>
      <c r="Y89" s="4"/>
      <c r="Z89" s="4"/>
      <c r="AA89" s="4"/>
      <c r="AB89" s="4"/>
      <c r="AC89" s="4"/>
      <c r="AD89" s="4" t="s">
        <v>13</v>
      </c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12" t="s">
        <v>351</v>
      </c>
      <c r="AU89" s="4" t="s">
        <v>368</v>
      </c>
      <c r="AV89" s="4" t="s">
        <v>684</v>
      </c>
      <c r="AW89" s="4" t="s">
        <v>687</v>
      </c>
      <c r="AX89" s="4" t="s">
        <v>690</v>
      </c>
      <c r="AY89" s="4" t="s">
        <v>371</v>
      </c>
      <c r="AZ89" s="13" t="s">
        <v>14</v>
      </c>
      <c r="BA89" s="4" t="s">
        <v>268</v>
      </c>
      <c r="BB89" s="4" t="s">
        <v>268</v>
      </c>
      <c r="BC89" s="13" t="s">
        <v>268</v>
      </c>
      <c r="BD89" s="4">
        <v>0</v>
      </c>
      <c r="BE89" s="4" t="s">
        <v>455</v>
      </c>
      <c r="BF89" s="13" t="s">
        <v>456</v>
      </c>
      <c r="BG89" s="3"/>
    </row>
    <row r="90" spans="1:59" ht="28.5" hidden="1">
      <c r="A90" s="4">
        <v>87</v>
      </c>
      <c r="B90" s="4" t="s">
        <v>37</v>
      </c>
      <c r="C90" s="4" t="s">
        <v>7</v>
      </c>
      <c r="D90" s="4">
        <v>2010</v>
      </c>
      <c r="E90" s="1" t="s">
        <v>139</v>
      </c>
      <c r="F90" s="18" t="s">
        <v>64</v>
      </c>
      <c r="G90" s="4"/>
      <c r="L90" s="6" t="s">
        <v>256</v>
      </c>
      <c r="M90" s="4" t="s">
        <v>266</v>
      </c>
      <c r="N90" s="13" t="s">
        <v>263</v>
      </c>
      <c r="O90" s="4"/>
      <c r="P90" s="4"/>
      <c r="Q90" s="4"/>
      <c r="R90" s="4"/>
      <c r="S90" s="4"/>
      <c r="T90" s="4"/>
      <c r="U90" s="4" t="s">
        <v>13</v>
      </c>
      <c r="V90" s="4"/>
      <c r="W90" s="4"/>
      <c r="X90" s="4"/>
      <c r="Y90" s="4"/>
      <c r="Z90" s="4"/>
      <c r="AA90" s="4"/>
      <c r="AB90" s="4"/>
      <c r="AC90" s="4"/>
      <c r="AD90" s="4" t="s">
        <v>13</v>
      </c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12" t="s">
        <v>351</v>
      </c>
      <c r="AU90" s="4" t="s">
        <v>368</v>
      </c>
      <c r="AV90" s="4" t="s">
        <v>684</v>
      </c>
      <c r="AW90" s="4" t="s">
        <v>687</v>
      </c>
      <c r="AX90" s="4" t="s">
        <v>690</v>
      </c>
      <c r="AY90" s="4" t="s">
        <v>371</v>
      </c>
      <c r="AZ90" s="13" t="s">
        <v>14</v>
      </c>
      <c r="BA90" s="4" t="s">
        <v>268</v>
      </c>
      <c r="BB90" s="4" t="s">
        <v>410</v>
      </c>
      <c r="BC90" s="13" t="s">
        <v>268</v>
      </c>
      <c r="BD90" s="4">
        <v>3</v>
      </c>
      <c r="BE90" s="4" t="s">
        <v>457</v>
      </c>
      <c r="BF90" s="13" t="s">
        <v>457</v>
      </c>
      <c r="BG90" s="3"/>
    </row>
    <row r="91" spans="1:59" ht="28.5" hidden="1">
      <c r="A91" s="4">
        <v>88</v>
      </c>
      <c r="B91" s="4" t="s">
        <v>37</v>
      </c>
      <c r="C91" s="4" t="s">
        <v>7</v>
      </c>
      <c r="D91" s="4">
        <v>2010</v>
      </c>
      <c r="E91" s="1" t="s">
        <v>140</v>
      </c>
      <c r="F91" s="18" t="s">
        <v>64</v>
      </c>
      <c r="G91" s="4"/>
      <c r="L91" s="6" t="s">
        <v>256</v>
      </c>
      <c r="M91" s="4" t="s">
        <v>266</v>
      </c>
      <c r="N91" s="13" t="s">
        <v>263</v>
      </c>
      <c r="O91" s="4"/>
      <c r="P91" s="4"/>
      <c r="Q91" s="4"/>
      <c r="R91" s="4"/>
      <c r="S91" s="4"/>
      <c r="T91" s="4"/>
      <c r="U91" s="4" t="s">
        <v>13</v>
      </c>
      <c r="V91" s="4"/>
      <c r="W91" s="4"/>
      <c r="X91" s="4"/>
      <c r="Y91" s="4"/>
      <c r="Z91" s="4"/>
      <c r="AA91" s="4"/>
      <c r="AB91" s="4"/>
      <c r="AC91" s="4"/>
      <c r="AD91" s="4" t="s">
        <v>13</v>
      </c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12" t="s">
        <v>360</v>
      </c>
      <c r="AU91" s="4" t="s">
        <v>368</v>
      </c>
      <c r="AV91" s="4" t="s">
        <v>684</v>
      </c>
      <c r="AW91" s="4" t="s">
        <v>687</v>
      </c>
      <c r="AX91" s="4" t="s">
        <v>690</v>
      </c>
      <c r="AY91" s="4" t="s">
        <v>371</v>
      </c>
      <c r="AZ91" s="13" t="s">
        <v>14</v>
      </c>
      <c r="BA91" s="4" t="s">
        <v>268</v>
      </c>
      <c r="BB91" s="4" t="s">
        <v>415</v>
      </c>
      <c r="BC91" s="13" t="s">
        <v>268</v>
      </c>
      <c r="BD91" s="4">
        <v>2</v>
      </c>
      <c r="BE91" s="4" t="s">
        <v>457</v>
      </c>
      <c r="BF91" s="13" t="s">
        <v>456</v>
      </c>
      <c r="BG91" s="3"/>
    </row>
    <row r="92" spans="1:59" ht="28.5" hidden="1">
      <c r="A92" s="4">
        <v>89</v>
      </c>
      <c r="B92" s="4" t="s">
        <v>37</v>
      </c>
      <c r="C92" s="4" t="s">
        <v>7</v>
      </c>
      <c r="D92" s="4">
        <v>2010</v>
      </c>
      <c r="E92" s="1" t="s">
        <v>141</v>
      </c>
      <c r="F92" s="21" t="s">
        <v>64</v>
      </c>
      <c r="G92" s="4"/>
      <c r="L92" s="12" t="s">
        <v>256</v>
      </c>
      <c r="M92" s="4" t="s">
        <v>266</v>
      </c>
      <c r="N92" s="13" t="s">
        <v>263</v>
      </c>
      <c r="O92" s="4"/>
      <c r="P92" s="4"/>
      <c r="Q92" s="4"/>
      <c r="R92" s="4"/>
      <c r="S92" s="4"/>
      <c r="T92" s="4"/>
      <c r="U92" s="4" t="s">
        <v>13</v>
      </c>
      <c r="V92" s="4"/>
      <c r="W92" s="4"/>
      <c r="X92" s="4"/>
      <c r="Y92" s="4"/>
      <c r="Z92" s="4"/>
      <c r="AA92" s="4"/>
      <c r="AB92" s="4"/>
      <c r="AC92" s="4"/>
      <c r="AD92" s="4" t="s">
        <v>13</v>
      </c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12" t="s">
        <v>360</v>
      </c>
      <c r="AU92" s="4" t="s">
        <v>368</v>
      </c>
      <c r="AV92" s="4" t="s">
        <v>684</v>
      </c>
      <c r="AW92" s="4" t="s">
        <v>687</v>
      </c>
      <c r="AX92" s="4" t="s">
        <v>690</v>
      </c>
      <c r="AY92" s="4" t="s">
        <v>371</v>
      </c>
      <c r="AZ92" s="13" t="s">
        <v>14</v>
      </c>
      <c r="BA92" s="4" t="s">
        <v>268</v>
      </c>
      <c r="BB92" s="4" t="s">
        <v>415</v>
      </c>
      <c r="BC92" s="13" t="s">
        <v>268</v>
      </c>
      <c r="BD92" s="4">
        <v>3</v>
      </c>
      <c r="BE92" s="4" t="s">
        <v>457</v>
      </c>
      <c r="BF92" s="13" t="s">
        <v>456</v>
      </c>
      <c r="BG92" s="3"/>
    </row>
    <row r="93" spans="1:59" ht="28.5" hidden="1">
      <c r="A93" s="4">
        <v>90</v>
      </c>
      <c r="B93" s="4" t="s">
        <v>37</v>
      </c>
      <c r="C93" s="4" t="s">
        <v>7</v>
      </c>
      <c r="D93" s="4">
        <v>2010</v>
      </c>
      <c r="E93" s="1" t="s">
        <v>142</v>
      </c>
      <c r="F93" s="13" t="s">
        <v>64</v>
      </c>
      <c r="G93" s="4"/>
      <c r="L93" s="6" t="s">
        <v>256</v>
      </c>
      <c r="M93" s="4" t="s">
        <v>266</v>
      </c>
      <c r="N93" s="13" t="s">
        <v>263</v>
      </c>
      <c r="O93" s="4"/>
      <c r="P93" s="4"/>
      <c r="Q93" s="4"/>
      <c r="R93" s="4"/>
      <c r="S93" s="4"/>
      <c r="T93" s="4"/>
      <c r="U93" s="4" t="s">
        <v>13</v>
      </c>
      <c r="V93" s="4"/>
      <c r="W93" s="4"/>
      <c r="X93" s="4"/>
      <c r="Y93" s="4"/>
      <c r="Z93" s="4"/>
      <c r="AA93" s="4"/>
      <c r="AB93" s="4"/>
      <c r="AC93" s="4"/>
      <c r="AD93" s="4" t="s">
        <v>13</v>
      </c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12" t="s">
        <v>360</v>
      </c>
      <c r="AU93" s="4" t="s">
        <v>368</v>
      </c>
      <c r="AV93" s="4" t="s">
        <v>684</v>
      </c>
      <c r="AW93" s="4" t="s">
        <v>687</v>
      </c>
      <c r="AX93" s="4" t="s">
        <v>690</v>
      </c>
      <c r="AY93" s="4" t="s">
        <v>371</v>
      </c>
      <c r="AZ93" s="13" t="s">
        <v>14</v>
      </c>
      <c r="BA93" s="4" t="s">
        <v>268</v>
      </c>
      <c r="BB93" s="4" t="s">
        <v>416</v>
      </c>
      <c r="BC93" s="13" t="s">
        <v>268</v>
      </c>
      <c r="BD93" s="4">
        <v>2</v>
      </c>
      <c r="BE93" s="4" t="s">
        <v>457</v>
      </c>
      <c r="BF93" s="13" t="s">
        <v>456</v>
      </c>
      <c r="BG93" s="3"/>
    </row>
    <row r="94" spans="1:59" ht="28.5" hidden="1">
      <c r="A94" s="4">
        <v>91</v>
      </c>
      <c r="B94" s="4" t="s">
        <v>37</v>
      </c>
      <c r="C94" s="4" t="s">
        <v>7</v>
      </c>
      <c r="D94" s="4">
        <v>2010</v>
      </c>
      <c r="E94" s="1" t="s">
        <v>143</v>
      </c>
      <c r="F94" s="18" t="s">
        <v>64</v>
      </c>
      <c r="G94" s="4"/>
      <c r="L94" s="6" t="s">
        <v>256</v>
      </c>
      <c r="M94" s="4" t="s">
        <v>266</v>
      </c>
      <c r="N94" s="13" t="s">
        <v>263</v>
      </c>
      <c r="O94" s="4"/>
      <c r="P94" s="4"/>
      <c r="Q94" s="4"/>
      <c r="R94" s="4"/>
      <c r="S94" s="4"/>
      <c r="T94" s="4"/>
      <c r="U94" s="4" t="s">
        <v>13</v>
      </c>
      <c r="V94" s="4"/>
      <c r="W94" s="4"/>
      <c r="X94" s="4"/>
      <c r="Y94" s="4"/>
      <c r="Z94" s="4"/>
      <c r="AA94" s="4"/>
      <c r="AB94" s="4"/>
      <c r="AC94" s="4"/>
      <c r="AD94" s="4" t="s">
        <v>13</v>
      </c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 t="s">
        <v>13</v>
      </c>
      <c r="AT94" s="12" t="s">
        <v>355</v>
      </c>
      <c r="AU94" s="4" t="s">
        <v>368</v>
      </c>
      <c r="AV94" s="4" t="s">
        <v>684</v>
      </c>
      <c r="AW94" s="4" t="s">
        <v>687</v>
      </c>
      <c r="AX94" s="4" t="s">
        <v>690</v>
      </c>
      <c r="AY94" s="4" t="s">
        <v>371</v>
      </c>
      <c r="AZ94" s="13" t="s">
        <v>14</v>
      </c>
      <c r="BA94" s="4" t="s">
        <v>268</v>
      </c>
      <c r="BB94" s="4" t="s">
        <v>417</v>
      </c>
      <c r="BC94" s="13" t="s">
        <v>268</v>
      </c>
      <c r="BD94" s="4">
        <v>1</v>
      </c>
      <c r="BE94" s="4" t="s">
        <v>457</v>
      </c>
      <c r="BF94" s="13" t="s">
        <v>456</v>
      </c>
      <c r="BG94" s="3"/>
    </row>
    <row r="95" spans="1:59" ht="28.5" hidden="1">
      <c r="A95" s="4">
        <v>92</v>
      </c>
      <c r="B95" s="4" t="s">
        <v>37</v>
      </c>
      <c r="C95" s="4" t="s">
        <v>7</v>
      </c>
      <c r="D95" s="4">
        <v>2010</v>
      </c>
      <c r="E95" s="1" t="s">
        <v>144</v>
      </c>
      <c r="F95" s="18" t="s">
        <v>64</v>
      </c>
      <c r="G95" s="4"/>
      <c r="L95" s="6" t="s">
        <v>256</v>
      </c>
      <c r="M95" s="4" t="s">
        <v>266</v>
      </c>
      <c r="N95" s="13" t="s">
        <v>263</v>
      </c>
      <c r="O95" s="4"/>
      <c r="P95" s="4"/>
      <c r="Q95" s="4"/>
      <c r="R95" s="4"/>
      <c r="S95" s="4"/>
      <c r="T95" s="4"/>
      <c r="U95" s="4" t="s">
        <v>13</v>
      </c>
      <c r="V95" s="4"/>
      <c r="W95" s="4"/>
      <c r="X95" s="4"/>
      <c r="Y95" s="4"/>
      <c r="Z95" s="4"/>
      <c r="AA95" s="4"/>
      <c r="AB95" s="4"/>
      <c r="AC95" s="4"/>
      <c r="AD95" s="4" t="s">
        <v>13</v>
      </c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 t="s">
        <v>13</v>
      </c>
      <c r="AT95" s="12" t="s">
        <v>355</v>
      </c>
      <c r="AU95" s="4" t="s">
        <v>368</v>
      </c>
      <c r="AV95" s="4" t="s">
        <v>684</v>
      </c>
      <c r="AW95" s="4" t="s">
        <v>687</v>
      </c>
      <c r="AX95" s="4" t="s">
        <v>690</v>
      </c>
      <c r="AY95" s="4" t="s">
        <v>371</v>
      </c>
      <c r="AZ95" s="13" t="s">
        <v>14</v>
      </c>
      <c r="BA95" s="4" t="s">
        <v>268</v>
      </c>
      <c r="BB95" s="4" t="s">
        <v>375</v>
      </c>
      <c r="BC95" s="13" t="s">
        <v>268</v>
      </c>
      <c r="BD95" s="4">
        <v>1</v>
      </c>
      <c r="BE95" s="4" t="s">
        <v>455</v>
      </c>
      <c r="BF95" s="13" t="s">
        <v>456</v>
      </c>
      <c r="BG95" s="3"/>
    </row>
    <row r="96" spans="1:59" ht="28.5" hidden="1">
      <c r="A96" s="4">
        <v>93</v>
      </c>
      <c r="B96" s="4" t="s">
        <v>37</v>
      </c>
      <c r="C96" s="4" t="s">
        <v>7</v>
      </c>
      <c r="D96" s="4">
        <v>2010</v>
      </c>
      <c r="E96" s="1" t="s">
        <v>145</v>
      </c>
      <c r="F96" s="18" t="s">
        <v>64</v>
      </c>
      <c r="G96" s="4"/>
      <c r="L96" s="6" t="s">
        <v>256</v>
      </c>
      <c r="M96" s="4" t="s">
        <v>266</v>
      </c>
      <c r="N96" s="13" t="s">
        <v>263</v>
      </c>
      <c r="O96" s="4"/>
      <c r="P96" s="4"/>
      <c r="Q96" s="4"/>
      <c r="R96" s="4"/>
      <c r="S96" s="4"/>
      <c r="T96" s="4"/>
      <c r="U96" s="4" t="s">
        <v>13</v>
      </c>
      <c r="V96" s="4"/>
      <c r="W96" s="4"/>
      <c r="X96" s="4"/>
      <c r="Y96" s="4"/>
      <c r="Z96" s="4"/>
      <c r="AA96" s="4"/>
      <c r="AB96" s="4"/>
      <c r="AC96" s="4"/>
      <c r="AD96" s="4" t="s">
        <v>13</v>
      </c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 t="s">
        <v>13</v>
      </c>
      <c r="AT96" s="12" t="s">
        <v>355</v>
      </c>
      <c r="AU96" s="4" t="s">
        <v>368</v>
      </c>
      <c r="AV96" s="4" t="s">
        <v>684</v>
      </c>
      <c r="AW96" s="4" t="s">
        <v>687</v>
      </c>
      <c r="AX96" s="4" t="s">
        <v>690</v>
      </c>
      <c r="AY96" s="4" t="s">
        <v>371</v>
      </c>
      <c r="AZ96" s="13" t="s">
        <v>14</v>
      </c>
      <c r="BA96" s="4" t="s">
        <v>268</v>
      </c>
      <c r="BB96" s="4" t="s">
        <v>405</v>
      </c>
      <c r="BC96" s="13" t="s">
        <v>418</v>
      </c>
      <c r="BD96" s="4">
        <v>3</v>
      </c>
      <c r="BE96" s="4" t="s">
        <v>457</v>
      </c>
      <c r="BF96" s="13" t="s">
        <v>456</v>
      </c>
      <c r="BG96" s="3"/>
    </row>
    <row r="97" spans="1:59" ht="28.5" hidden="1">
      <c r="A97" s="4">
        <v>94</v>
      </c>
      <c r="B97" s="4" t="s">
        <v>4</v>
      </c>
      <c r="C97" s="4" t="s">
        <v>6</v>
      </c>
      <c r="D97" s="4">
        <v>2009</v>
      </c>
      <c r="E97" s="1" t="s">
        <v>146</v>
      </c>
      <c r="F97" s="13" t="s">
        <v>147</v>
      </c>
      <c r="G97" s="4"/>
      <c r="L97" s="6" t="s">
        <v>253</v>
      </c>
      <c r="M97" s="4" t="s">
        <v>266</v>
      </c>
      <c r="N97" s="13" t="s">
        <v>268</v>
      </c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 t="s">
        <v>13</v>
      </c>
      <c r="AH97" s="4"/>
      <c r="AI97" s="4"/>
      <c r="AJ97" s="4"/>
      <c r="AK97" s="4"/>
      <c r="AL97" s="4"/>
      <c r="AM97" s="4" t="s">
        <v>13</v>
      </c>
      <c r="AN97" s="4"/>
      <c r="AO97" s="4"/>
      <c r="AP97" s="4"/>
      <c r="AQ97" s="4"/>
      <c r="AR97" s="4"/>
      <c r="AS97" s="4"/>
      <c r="AT97" s="12" t="s">
        <v>364</v>
      </c>
      <c r="AU97" s="4" t="s">
        <v>368</v>
      </c>
      <c r="AV97" s="4" t="s">
        <v>684</v>
      </c>
      <c r="AW97" s="4" t="s">
        <v>687</v>
      </c>
      <c r="AX97" s="4" t="s">
        <v>690</v>
      </c>
      <c r="AY97" s="4" t="s">
        <v>371</v>
      </c>
      <c r="AZ97" s="13" t="s">
        <v>14</v>
      </c>
      <c r="BA97" s="4" t="s">
        <v>268</v>
      </c>
      <c r="BB97" s="4" t="s">
        <v>414</v>
      </c>
      <c r="BC97" s="13" t="s">
        <v>400</v>
      </c>
      <c r="BD97" s="4">
        <v>3</v>
      </c>
      <c r="BE97" s="4" t="s">
        <v>457</v>
      </c>
      <c r="BF97" s="13" t="s">
        <v>456</v>
      </c>
      <c r="BG97" s="3"/>
    </row>
    <row r="98" spans="1:59" ht="28.5" hidden="1">
      <c r="A98" s="4">
        <v>95</v>
      </c>
      <c r="C98" s="4" t="s">
        <v>7</v>
      </c>
      <c r="D98" s="4">
        <v>2008</v>
      </c>
      <c r="E98" s="1" t="s">
        <v>148</v>
      </c>
      <c r="F98" s="13" t="s">
        <v>149</v>
      </c>
      <c r="G98" s="4"/>
      <c r="L98" s="6" t="s">
        <v>253</v>
      </c>
      <c r="M98" s="4" t="s">
        <v>266</v>
      </c>
      <c r="N98" s="13" t="s">
        <v>268</v>
      </c>
      <c r="O98" s="4"/>
      <c r="P98" s="4"/>
      <c r="Q98" s="4"/>
      <c r="R98" s="4"/>
      <c r="S98" s="4"/>
      <c r="T98" s="4"/>
      <c r="U98" s="4"/>
      <c r="V98" s="4" t="s">
        <v>13</v>
      </c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12" t="s">
        <v>360</v>
      </c>
      <c r="AU98" s="4" t="s">
        <v>368</v>
      </c>
      <c r="AV98" s="4" t="s">
        <v>684</v>
      </c>
      <c r="AW98" s="4" t="s">
        <v>687</v>
      </c>
      <c r="AX98" s="4" t="s">
        <v>690</v>
      </c>
      <c r="AY98" s="4" t="s">
        <v>371</v>
      </c>
      <c r="AZ98" s="13" t="s">
        <v>14</v>
      </c>
      <c r="BA98" s="4" t="s">
        <v>268</v>
      </c>
      <c r="BB98" s="4" t="s">
        <v>405</v>
      </c>
      <c r="BC98" s="13" t="s">
        <v>418</v>
      </c>
      <c r="BD98" s="4">
        <v>5</v>
      </c>
      <c r="BE98" s="4" t="s">
        <v>454</v>
      </c>
      <c r="BF98" s="13" t="s">
        <v>457</v>
      </c>
      <c r="BG98" s="3"/>
    </row>
    <row r="99" spans="1:59" ht="28.5" hidden="1">
      <c r="A99" s="4">
        <v>96</v>
      </c>
      <c r="C99" s="4" t="s">
        <v>5</v>
      </c>
      <c r="D99" s="4">
        <v>2010</v>
      </c>
      <c r="E99" s="1" t="s">
        <v>150</v>
      </c>
      <c r="F99" s="13" t="s">
        <v>151</v>
      </c>
      <c r="G99" s="4"/>
      <c r="L99" s="6" t="s">
        <v>253</v>
      </c>
      <c r="M99" s="4" t="s">
        <v>266</v>
      </c>
      <c r="N99" s="13" t="s">
        <v>268</v>
      </c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 t="s">
        <v>13</v>
      </c>
      <c r="AO99" s="4"/>
      <c r="AP99" s="4" t="s">
        <v>13</v>
      </c>
      <c r="AQ99" s="4"/>
      <c r="AR99" s="4"/>
      <c r="AS99" s="4"/>
      <c r="AT99" s="12" t="s">
        <v>359</v>
      </c>
      <c r="AU99" s="4" t="s">
        <v>368</v>
      </c>
      <c r="AV99" s="4" t="s">
        <v>684</v>
      </c>
      <c r="AW99" s="4" t="s">
        <v>687</v>
      </c>
      <c r="AX99" s="4" t="s">
        <v>690</v>
      </c>
      <c r="AY99" s="4" t="s">
        <v>371</v>
      </c>
      <c r="AZ99" s="13" t="s">
        <v>14</v>
      </c>
      <c r="BA99" s="4" t="s">
        <v>396</v>
      </c>
      <c r="BB99" s="4" t="s">
        <v>420</v>
      </c>
      <c r="BC99" s="13" t="s">
        <v>419</v>
      </c>
      <c r="BD99" s="4">
        <v>4</v>
      </c>
      <c r="BE99" s="4" t="s">
        <v>457</v>
      </c>
      <c r="BF99" s="13" t="s">
        <v>456</v>
      </c>
      <c r="BG99" s="3"/>
    </row>
    <row r="100" spans="1:59" ht="28.5" hidden="1">
      <c r="A100" s="4">
        <v>97</v>
      </c>
      <c r="B100" s="4" t="s">
        <v>4</v>
      </c>
      <c r="C100" s="4" t="s">
        <v>6</v>
      </c>
      <c r="D100" s="4">
        <v>2011</v>
      </c>
      <c r="E100" s="1" t="s">
        <v>152</v>
      </c>
      <c r="F100" s="13" t="s">
        <v>155</v>
      </c>
      <c r="G100" s="4"/>
      <c r="L100" s="6" t="s">
        <v>253</v>
      </c>
      <c r="M100" s="4" t="s">
        <v>288</v>
      </c>
      <c r="N100" s="13" t="s">
        <v>289</v>
      </c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 t="s">
        <v>13</v>
      </c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12" t="s">
        <v>359</v>
      </c>
      <c r="AU100" s="4" t="s">
        <v>369</v>
      </c>
      <c r="AV100" s="4" t="s">
        <v>684</v>
      </c>
      <c r="AW100" s="4" t="s">
        <v>687</v>
      </c>
      <c r="AX100" s="4" t="s">
        <v>690</v>
      </c>
      <c r="AY100" s="4" t="s">
        <v>371</v>
      </c>
      <c r="AZ100" s="13" t="s">
        <v>14</v>
      </c>
      <c r="BA100" s="4" t="s">
        <v>396</v>
      </c>
      <c r="BB100" s="4" t="s">
        <v>421</v>
      </c>
      <c r="BC100" s="13" t="s">
        <v>419</v>
      </c>
      <c r="BD100" s="4">
        <v>5</v>
      </c>
      <c r="BE100" s="4" t="s">
        <v>457</v>
      </c>
      <c r="BF100" s="13" t="s">
        <v>457</v>
      </c>
      <c r="BG100" s="3"/>
    </row>
    <row r="101" spans="1:59" ht="28.5" hidden="1">
      <c r="A101" s="4">
        <v>98</v>
      </c>
      <c r="C101" s="4" t="s">
        <v>5</v>
      </c>
      <c r="D101" s="4">
        <v>2009</v>
      </c>
      <c r="E101" s="1" t="s">
        <v>153</v>
      </c>
      <c r="F101" s="13" t="s">
        <v>154</v>
      </c>
      <c r="G101" s="4"/>
      <c r="L101" s="6" t="s">
        <v>253</v>
      </c>
      <c r="M101" s="4" t="s">
        <v>266</v>
      </c>
      <c r="N101" s="13" t="s">
        <v>268</v>
      </c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 t="s">
        <v>13</v>
      </c>
      <c r="AP101" s="4"/>
      <c r="AQ101" s="4"/>
      <c r="AR101" s="4"/>
      <c r="AS101" s="4"/>
      <c r="AT101" s="12" t="s">
        <v>351</v>
      </c>
      <c r="AU101" s="4" t="s">
        <v>368</v>
      </c>
      <c r="AV101" s="4" t="s">
        <v>684</v>
      </c>
      <c r="AW101" s="4" t="s">
        <v>687</v>
      </c>
      <c r="AX101" s="4" t="s">
        <v>690</v>
      </c>
      <c r="AY101" s="4" t="s">
        <v>371</v>
      </c>
      <c r="AZ101" s="13" t="s">
        <v>14</v>
      </c>
      <c r="BA101" s="4" t="s">
        <v>378</v>
      </c>
      <c r="BB101" s="4" t="s">
        <v>405</v>
      </c>
      <c r="BC101" s="13" t="s">
        <v>268</v>
      </c>
      <c r="BD101" s="4">
        <v>5</v>
      </c>
      <c r="BE101" s="4" t="s">
        <v>457</v>
      </c>
      <c r="BF101" s="13" t="s">
        <v>457</v>
      </c>
      <c r="BG101" s="3"/>
    </row>
    <row r="102" spans="1:59" ht="28.5" hidden="1">
      <c r="A102" s="4">
        <v>99</v>
      </c>
      <c r="B102" s="4" t="s">
        <v>4</v>
      </c>
      <c r="C102" s="4" t="s">
        <v>7</v>
      </c>
      <c r="D102" s="4">
        <v>2007</v>
      </c>
      <c r="E102" s="1" t="s">
        <v>156</v>
      </c>
      <c r="F102" s="13" t="s">
        <v>157</v>
      </c>
      <c r="G102" s="4"/>
      <c r="L102" s="6" t="s">
        <v>253</v>
      </c>
      <c r="M102" s="4" t="s">
        <v>266</v>
      </c>
      <c r="N102" s="13" t="s">
        <v>268</v>
      </c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 t="s">
        <v>13</v>
      </c>
      <c r="AM102" s="4"/>
      <c r="AN102" s="4"/>
      <c r="AO102" s="4"/>
      <c r="AP102" s="4"/>
      <c r="AQ102" s="4"/>
      <c r="AR102" s="4"/>
      <c r="AS102" s="4"/>
      <c r="AT102" s="12" t="s">
        <v>359</v>
      </c>
      <c r="AU102" s="4" t="s">
        <v>368</v>
      </c>
      <c r="AV102" s="4" t="s">
        <v>684</v>
      </c>
      <c r="AW102" s="4" t="s">
        <v>687</v>
      </c>
      <c r="AX102" s="4" t="s">
        <v>690</v>
      </c>
      <c r="AY102" s="4" t="s">
        <v>371</v>
      </c>
      <c r="AZ102" s="13" t="s">
        <v>14</v>
      </c>
      <c r="BA102" s="4" t="s">
        <v>268</v>
      </c>
      <c r="BB102" s="4" t="s">
        <v>422</v>
      </c>
      <c r="BC102" s="13" t="s">
        <v>268</v>
      </c>
      <c r="BD102" s="4">
        <v>3</v>
      </c>
      <c r="BE102" s="4" t="s">
        <v>457</v>
      </c>
      <c r="BF102" s="13" t="s">
        <v>456</v>
      </c>
      <c r="BG102" s="3"/>
    </row>
    <row r="103" spans="1:59" ht="28.5" hidden="1">
      <c r="A103" s="4">
        <v>100</v>
      </c>
      <c r="D103" s="4">
        <v>2009</v>
      </c>
      <c r="E103" s="1" t="s">
        <v>158</v>
      </c>
      <c r="F103" s="13" t="s">
        <v>159</v>
      </c>
      <c r="G103" s="4"/>
      <c r="L103" s="6" t="s">
        <v>253</v>
      </c>
      <c r="M103" s="4" t="s">
        <v>287</v>
      </c>
      <c r="N103" s="13" t="s">
        <v>268</v>
      </c>
      <c r="O103" s="4"/>
      <c r="P103" s="4"/>
      <c r="Q103" s="4"/>
      <c r="R103" s="4"/>
      <c r="S103" s="4"/>
      <c r="T103" s="4"/>
      <c r="U103" s="4"/>
      <c r="V103" s="4" t="s">
        <v>13</v>
      </c>
      <c r="W103" s="4"/>
      <c r="X103" s="4"/>
      <c r="Y103" s="4"/>
      <c r="Z103" s="4"/>
      <c r="AA103" s="4"/>
      <c r="AB103" s="4"/>
      <c r="AC103" s="4"/>
      <c r="AD103" s="4" t="s">
        <v>13</v>
      </c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12" t="s">
        <v>359</v>
      </c>
      <c r="AU103" s="4" t="s">
        <v>368</v>
      </c>
      <c r="AV103" s="4" t="s">
        <v>684</v>
      </c>
      <c r="AW103" s="4" t="s">
        <v>687</v>
      </c>
      <c r="AX103" s="4" t="s">
        <v>690</v>
      </c>
      <c r="AY103" s="4" t="s">
        <v>371</v>
      </c>
      <c r="AZ103" s="13" t="s">
        <v>14</v>
      </c>
      <c r="BA103" s="4" t="s">
        <v>268</v>
      </c>
      <c r="BB103" s="4" t="s">
        <v>416</v>
      </c>
      <c r="BC103" s="13" t="s">
        <v>268</v>
      </c>
      <c r="BD103" s="4">
        <v>3</v>
      </c>
      <c r="BE103" s="4" t="s">
        <v>457</v>
      </c>
      <c r="BF103" s="13" t="s">
        <v>456</v>
      </c>
      <c r="BG103" s="3"/>
    </row>
    <row r="104" spans="1:59" ht="28.5" hidden="1">
      <c r="A104" s="4">
        <v>101</v>
      </c>
      <c r="B104" s="4" t="s">
        <v>4</v>
      </c>
      <c r="C104" s="4" t="s">
        <v>5</v>
      </c>
      <c r="D104" s="4">
        <v>2007</v>
      </c>
      <c r="E104" s="1" t="s">
        <v>160</v>
      </c>
      <c r="F104" s="13" t="s">
        <v>161</v>
      </c>
      <c r="G104" s="4"/>
      <c r="L104" s="6" t="s">
        <v>253</v>
      </c>
      <c r="M104" s="4" t="s">
        <v>290</v>
      </c>
      <c r="N104" s="13" t="s">
        <v>268</v>
      </c>
      <c r="O104" s="4" t="s">
        <v>13</v>
      </c>
      <c r="P104" s="4"/>
      <c r="Q104" s="4"/>
      <c r="R104" s="4"/>
      <c r="S104" s="4"/>
      <c r="T104" s="4"/>
      <c r="U104" s="4"/>
      <c r="V104" s="4" t="s">
        <v>13</v>
      </c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 t="s">
        <v>13</v>
      </c>
      <c r="AN104" s="4"/>
      <c r="AO104" s="4"/>
      <c r="AP104" s="4"/>
      <c r="AQ104" s="4"/>
      <c r="AR104" s="4"/>
      <c r="AS104" s="4"/>
      <c r="AT104" s="12" t="s">
        <v>365</v>
      </c>
      <c r="AU104" s="4" t="s">
        <v>368</v>
      </c>
      <c r="AV104" s="4" t="s">
        <v>684</v>
      </c>
      <c r="AW104" s="4" t="s">
        <v>687</v>
      </c>
      <c r="AX104" s="4" t="s">
        <v>690</v>
      </c>
      <c r="AY104" s="4" t="s">
        <v>371</v>
      </c>
      <c r="AZ104" s="13" t="s">
        <v>14</v>
      </c>
      <c r="BA104" s="4" t="s">
        <v>268</v>
      </c>
      <c r="BB104" s="4" t="s">
        <v>375</v>
      </c>
      <c r="BC104" s="13" t="s">
        <v>268</v>
      </c>
      <c r="BD104" s="4">
        <v>3</v>
      </c>
      <c r="BE104" s="4" t="s">
        <v>457</v>
      </c>
      <c r="BF104" s="13" t="s">
        <v>456</v>
      </c>
      <c r="BG104" s="3"/>
    </row>
    <row r="105" spans="1:59" ht="28.5" hidden="1">
      <c r="A105" s="4">
        <v>102</v>
      </c>
      <c r="B105" s="4" t="s">
        <v>4</v>
      </c>
      <c r="C105" s="4" t="s">
        <v>6</v>
      </c>
      <c r="D105" s="4">
        <v>2008</v>
      </c>
      <c r="E105" s="1" t="s">
        <v>162</v>
      </c>
      <c r="F105" s="13" t="s">
        <v>163</v>
      </c>
      <c r="G105" s="4"/>
      <c r="L105" s="6" t="s">
        <v>253</v>
      </c>
      <c r="M105" s="4" t="s">
        <v>266</v>
      </c>
      <c r="N105" s="13" t="s">
        <v>268</v>
      </c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 t="s">
        <v>13</v>
      </c>
      <c r="AO105" s="4"/>
      <c r="AP105" s="4"/>
      <c r="AQ105" s="4"/>
      <c r="AR105" s="4"/>
      <c r="AS105" s="4"/>
      <c r="AT105" s="12" t="s">
        <v>355</v>
      </c>
      <c r="AU105" s="4" t="s">
        <v>368</v>
      </c>
      <c r="AV105" s="4" t="s">
        <v>684</v>
      </c>
      <c r="AW105" s="4" t="s">
        <v>687</v>
      </c>
      <c r="AX105" s="4" t="s">
        <v>690</v>
      </c>
      <c r="AY105" s="4" t="s">
        <v>371</v>
      </c>
      <c r="AZ105" s="13" t="s">
        <v>14</v>
      </c>
      <c r="BA105" s="4" t="s">
        <v>423</v>
      </c>
      <c r="BB105" s="4" t="s">
        <v>424</v>
      </c>
      <c r="BC105" s="13" t="s">
        <v>268</v>
      </c>
      <c r="BD105" s="4">
        <v>3</v>
      </c>
      <c r="BE105" s="4" t="s">
        <v>457</v>
      </c>
      <c r="BF105" s="13" t="s">
        <v>456</v>
      </c>
      <c r="BG105" s="3"/>
    </row>
    <row r="106" spans="1:59" ht="28.5" hidden="1">
      <c r="A106" s="4">
        <v>103</v>
      </c>
      <c r="C106" s="4" t="s">
        <v>5</v>
      </c>
      <c r="D106" s="4">
        <v>2013</v>
      </c>
      <c r="E106" s="1" t="s">
        <v>164</v>
      </c>
      <c r="F106" s="13" t="s">
        <v>165</v>
      </c>
      <c r="G106" s="4"/>
      <c r="L106" s="6" t="s">
        <v>253</v>
      </c>
      <c r="M106" s="4" t="s">
        <v>266</v>
      </c>
      <c r="N106" s="13" t="s">
        <v>268</v>
      </c>
      <c r="O106" s="4" t="s">
        <v>13</v>
      </c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12" t="s">
        <v>355</v>
      </c>
      <c r="AU106" s="4" t="s">
        <v>368</v>
      </c>
      <c r="AV106" s="4" t="s">
        <v>684</v>
      </c>
      <c r="AW106" s="4" t="s">
        <v>687</v>
      </c>
      <c r="AX106" s="4" t="s">
        <v>690</v>
      </c>
      <c r="AY106" s="4" t="s">
        <v>371</v>
      </c>
      <c r="AZ106" s="13" t="s">
        <v>14</v>
      </c>
      <c r="BA106" s="4" t="s">
        <v>427</v>
      </c>
      <c r="BB106" s="4" t="s">
        <v>425</v>
      </c>
      <c r="BC106" s="13" t="s">
        <v>426</v>
      </c>
      <c r="BD106" s="4">
        <v>6</v>
      </c>
      <c r="BE106" s="4" t="s">
        <v>454</v>
      </c>
      <c r="BF106" s="13" t="s">
        <v>456</v>
      </c>
      <c r="BG106" s="3"/>
    </row>
    <row r="107" spans="1:59" ht="28.5" hidden="1">
      <c r="A107" s="4">
        <v>104</v>
      </c>
      <c r="B107" s="4" t="s">
        <v>9</v>
      </c>
      <c r="C107" s="4" t="s">
        <v>5</v>
      </c>
      <c r="D107" s="4">
        <v>2012</v>
      </c>
      <c r="E107" s="1" t="s">
        <v>166</v>
      </c>
      <c r="F107" s="13" t="s">
        <v>167</v>
      </c>
      <c r="G107" s="4"/>
      <c r="L107" s="6" t="s">
        <v>253</v>
      </c>
      <c r="M107" s="4" t="s">
        <v>266</v>
      </c>
      <c r="N107" s="13" t="s">
        <v>268</v>
      </c>
      <c r="O107" s="4" t="s">
        <v>13</v>
      </c>
      <c r="P107" s="4"/>
      <c r="Q107" s="4"/>
      <c r="R107" s="4"/>
      <c r="S107" s="4"/>
      <c r="T107" s="4"/>
      <c r="U107" s="4" t="s">
        <v>13</v>
      </c>
      <c r="V107" s="4" t="s">
        <v>13</v>
      </c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12" t="s">
        <v>355</v>
      </c>
      <c r="AU107" s="4" t="s">
        <v>368</v>
      </c>
      <c r="AV107" s="4" t="s">
        <v>684</v>
      </c>
      <c r="AW107" s="4" t="s">
        <v>687</v>
      </c>
      <c r="AX107" s="4" t="s">
        <v>690</v>
      </c>
      <c r="AY107" s="4" t="s">
        <v>371</v>
      </c>
      <c r="AZ107" s="13" t="s">
        <v>14</v>
      </c>
      <c r="BA107" s="4" t="s">
        <v>419</v>
      </c>
      <c r="BB107" s="4" t="s">
        <v>425</v>
      </c>
      <c r="BC107" s="13" t="s">
        <v>418</v>
      </c>
      <c r="BD107" s="4">
        <v>5</v>
      </c>
      <c r="BE107" s="4" t="s">
        <v>457</v>
      </c>
      <c r="BF107" s="13" t="s">
        <v>456</v>
      </c>
      <c r="BG107" s="3"/>
    </row>
    <row r="108" spans="1:59" ht="28.5" hidden="1">
      <c r="A108" s="4">
        <v>105</v>
      </c>
      <c r="B108" s="4" t="s">
        <v>4</v>
      </c>
      <c r="C108" s="4" t="s">
        <v>5</v>
      </c>
      <c r="D108" s="4">
        <v>2008</v>
      </c>
      <c r="E108" s="1" t="s">
        <v>168</v>
      </c>
      <c r="F108" s="13" t="s">
        <v>161</v>
      </c>
      <c r="G108" s="4"/>
      <c r="L108" s="6" t="s">
        <v>253</v>
      </c>
      <c r="M108" s="4" t="s">
        <v>266</v>
      </c>
      <c r="N108" s="13" t="s">
        <v>268</v>
      </c>
      <c r="O108" s="4" t="s">
        <v>13</v>
      </c>
      <c r="P108" s="4"/>
      <c r="Q108" s="4"/>
      <c r="R108" s="4"/>
      <c r="S108" s="4"/>
      <c r="T108" s="4"/>
      <c r="U108" s="4" t="s">
        <v>13</v>
      </c>
      <c r="V108" s="4" t="s">
        <v>13</v>
      </c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12" t="s">
        <v>351</v>
      </c>
      <c r="AU108" s="4" t="s">
        <v>368</v>
      </c>
      <c r="AV108" s="4" t="s">
        <v>684</v>
      </c>
      <c r="AW108" s="4" t="s">
        <v>687</v>
      </c>
      <c r="AX108" s="4" t="s">
        <v>690</v>
      </c>
      <c r="AY108" s="4" t="s">
        <v>371</v>
      </c>
      <c r="AZ108" s="13" t="s">
        <v>14</v>
      </c>
      <c r="BA108" s="4" t="s">
        <v>16</v>
      </c>
      <c r="BB108" s="4" t="s">
        <v>428</v>
      </c>
      <c r="BC108" s="13" t="s">
        <v>268</v>
      </c>
      <c r="BD108" s="4">
        <v>4</v>
      </c>
      <c r="BE108" s="4" t="s">
        <v>457</v>
      </c>
      <c r="BF108" s="13" t="s">
        <v>456</v>
      </c>
      <c r="BG108" s="3"/>
    </row>
    <row r="109" spans="1:59" ht="28.5" hidden="1">
      <c r="A109" s="4">
        <v>106</v>
      </c>
      <c r="B109" s="4" t="s">
        <v>9</v>
      </c>
      <c r="C109" s="4" t="s">
        <v>5</v>
      </c>
      <c r="D109" s="4">
        <v>2014</v>
      </c>
      <c r="E109" s="1" t="s">
        <v>169</v>
      </c>
      <c r="F109" s="13" t="s">
        <v>167</v>
      </c>
      <c r="G109" s="4"/>
      <c r="L109" s="6" t="s">
        <v>253</v>
      </c>
      <c r="M109" s="4" t="s">
        <v>266</v>
      </c>
      <c r="N109" s="13" t="s">
        <v>268</v>
      </c>
      <c r="O109" s="4" t="s">
        <v>13</v>
      </c>
      <c r="P109" s="4"/>
      <c r="Q109" s="4"/>
      <c r="R109" s="4"/>
      <c r="S109" s="4"/>
      <c r="T109" s="4"/>
      <c r="U109" s="4" t="s">
        <v>13</v>
      </c>
      <c r="V109" s="4" t="s">
        <v>346</v>
      </c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12" t="s">
        <v>360</v>
      </c>
      <c r="AU109" s="4" t="s">
        <v>369</v>
      </c>
      <c r="AV109" s="4" t="s">
        <v>684</v>
      </c>
      <c r="AW109" s="4" t="s">
        <v>687</v>
      </c>
      <c r="AX109" s="4" t="s">
        <v>690</v>
      </c>
      <c r="AY109" s="4" t="s">
        <v>371</v>
      </c>
      <c r="AZ109" s="13" t="s">
        <v>14</v>
      </c>
      <c r="BA109" s="4" t="s">
        <v>16</v>
      </c>
      <c r="BB109" s="4" t="s">
        <v>268</v>
      </c>
      <c r="BC109" s="13" t="s">
        <v>268</v>
      </c>
      <c r="BD109" s="4">
        <v>5</v>
      </c>
      <c r="BE109" s="4" t="s">
        <v>457</v>
      </c>
      <c r="BF109" s="13" t="s">
        <v>456</v>
      </c>
      <c r="BG109" s="3"/>
    </row>
    <row r="110" spans="1:59" ht="28.5" hidden="1">
      <c r="A110" s="4">
        <v>107</v>
      </c>
      <c r="B110" s="4" t="s">
        <v>641</v>
      </c>
      <c r="C110" s="4" t="s">
        <v>6</v>
      </c>
      <c r="D110" s="4">
        <v>2008</v>
      </c>
      <c r="E110" s="1" t="s">
        <v>170</v>
      </c>
      <c r="F110" s="13" t="s">
        <v>171</v>
      </c>
      <c r="G110" s="4"/>
      <c r="L110" s="31" t="s">
        <v>256</v>
      </c>
      <c r="M110" s="32" t="s">
        <v>298</v>
      </c>
      <c r="N110" s="33" t="s">
        <v>571</v>
      </c>
      <c r="O110" s="4" t="s">
        <v>13</v>
      </c>
      <c r="P110" s="4"/>
      <c r="Q110" s="4"/>
      <c r="R110" s="4"/>
      <c r="S110" s="4" t="s">
        <v>13</v>
      </c>
      <c r="T110" s="4"/>
      <c r="U110" s="4"/>
      <c r="V110" s="4"/>
      <c r="W110" s="4"/>
      <c r="X110" s="4"/>
      <c r="Y110" s="4"/>
      <c r="Z110" s="4"/>
      <c r="AA110" s="4"/>
      <c r="AB110" s="4"/>
      <c r="AC110" s="4" t="s">
        <v>13</v>
      </c>
      <c r="AD110" s="4"/>
      <c r="AE110" s="4"/>
      <c r="AF110" s="4"/>
      <c r="AG110" s="4"/>
      <c r="AH110" s="4"/>
      <c r="AI110" s="4"/>
      <c r="AJ110" s="4"/>
      <c r="AK110" s="4"/>
      <c r="AL110" s="4" t="s">
        <v>13</v>
      </c>
      <c r="AM110" s="4"/>
      <c r="AN110" s="4" t="s">
        <v>13</v>
      </c>
      <c r="AO110" s="4"/>
      <c r="AP110" s="4"/>
      <c r="AQ110" s="4"/>
      <c r="AR110" s="4"/>
      <c r="AS110" s="4"/>
      <c r="AT110" s="12" t="s">
        <v>359</v>
      </c>
      <c r="AU110" s="4" t="s">
        <v>369</v>
      </c>
      <c r="AV110" s="4" t="s">
        <v>684</v>
      </c>
      <c r="AW110" s="4" t="s">
        <v>687</v>
      </c>
      <c r="AX110" s="4" t="s">
        <v>690</v>
      </c>
      <c r="AY110" s="4" t="s">
        <v>371</v>
      </c>
      <c r="AZ110" s="13" t="s">
        <v>14</v>
      </c>
      <c r="BA110" s="4" t="s">
        <v>268</v>
      </c>
      <c r="BB110" s="4" t="s">
        <v>375</v>
      </c>
      <c r="BC110" s="13" t="s">
        <v>268</v>
      </c>
      <c r="BD110" s="4">
        <v>2</v>
      </c>
      <c r="BE110" s="4" t="s">
        <v>457</v>
      </c>
      <c r="BF110" s="13" t="s">
        <v>456</v>
      </c>
      <c r="BG110" s="3"/>
    </row>
    <row r="111" spans="1:59" ht="28.5" hidden="1">
      <c r="A111" s="4">
        <v>108</v>
      </c>
      <c r="C111" s="4" t="s">
        <v>7</v>
      </c>
      <c r="D111" s="4">
        <v>2009</v>
      </c>
      <c r="E111" s="1" t="s">
        <v>172</v>
      </c>
      <c r="F111" s="13" t="s">
        <v>173</v>
      </c>
      <c r="G111" s="4"/>
      <c r="L111" s="6" t="s">
        <v>259</v>
      </c>
      <c r="M111" s="4" t="s">
        <v>291</v>
      </c>
      <c r="N111" s="13" t="s">
        <v>268</v>
      </c>
      <c r="O111" s="4" t="s">
        <v>13</v>
      </c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 t="s">
        <v>13</v>
      </c>
      <c r="AS111" s="4"/>
      <c r="AT111" s="12" t="s">
        <v>355</v>
      </c>
      <c r="AU111" s="4" t="s">
        <v>368</v>
      </c>
      <c r="AV111" s="4" t="s">
        <v>684</v>
      </c>
      <c r="AW111" s="4" t="s">
        <v>687</v>
      </c>
      <c r="AX111" s="4" t="s">
        <v>690</v>
      </c>
      <c r="AY111" s="4" t="s">
        <v>371</v>
      </c>
      <c r="AZ111" s="13" t="s">
        <v>14</v>
      </c>
      <c r="BA111" s="4" t="s">
        <v>268</v>
      </c>
      <c r="BB111" s="4" t="s">
        <v>405</v>
      </c>
      <c r="BC111" s="13" t="s">
        <v>418</v>
      </c>
      <c r="BD111" s="4">
        <v>4</v>
      </c>
      <c r="BE111" s="4" t="s">
        <v>457</v>
      </c>
      <c r="BF111" s="13" t="s">
        <v>456</v>
      </c>
      <c r="BG111" s="3"/>
    </row>
    <row r="112" spans="1:59" ht="28.5" hidden="1">
      <c r="A112" s="4">
        <v>109</v>
      </c>
      <c r="B112" s="4" t="s">
        <v>10</v>
      </c>
      <c r="C112" s="4" t="s">
        <v>6</v>
      </c>
      <c r="D112" s="4">
        <v>2007</v>
      </c>
      <c r="E112" s="1" t="s">
        <v>174</v>
      </c>
      <c r="F112" s="13" t="s">
        <v>175</v>
      </c>
      <c r="G112" s="4"/>
      <c r="L112" s="6" t="s">
        <v>253</v>
      </c>
      <c r="M112" s="4" t="s">
        <v>266</v>
      </c>
      <c r="N112" s="13" t="s">
        <v>268</v>
      </c>
      <c r="O112" s="4" t="s">
        <v>13</v>
      </c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 t="s">
        <v>13</v>
      </c>
      <c r="AM112" s="4"/>
      <c r="AN112" s="4"/>
      <c r="AO112" s="4"/>
      <c r="AP112" s="4"/>
      <c r="AQ112" s="4"/>
      <c r="AR112" s="4"/>
      <c r="AS112" s="4"/>
      <c r="AT112" s="12" t="s">
        <v>355</v>
      </c>
      <c r="AU112" s="4" t="s">
        <v>368</v>
      </c>
      <c r="AV112" s="4" t="s">
        <v>684</v>
      </c>
      <c r="AW112" s="4" t="s">
        <v>687</v>
      </c>
      <c r="AX112" s="4" t="s">
        <v>690</v>
      </c>
      <c r="AY112" s="4" t="s">
        <v>371</v>
      </c>
      <c r="AZ112" s="13" t="s">
        <v>14</v>
      </c>
      <c r="BA112" s="4" t="s">
        <v>268</v>
      </c>
      <c r="BB112" s="4" t="s">
        <v>375</v>
      </c>
      <c r="BC112" s="13" t="s">
        <v>268</v>
      </c>
      <c r="BD112" s="4">
        <v>3</v>
      </c>
      <c r="BE112" s="4" t="s">
        <v>457</v>
      </c>
      <c r="BF112" s="13" t="s">
        <v>456</v>
      </c>
      <c r="BG112" s="3"/>
    </row>
    <row r="113" spans="1:59" ht="28.5" hidden="1">
      <c r="A113" s="4">
        <v>110</v>
      </c>
      <c r="B113" s="4" t="s">
        <v>4</v>
      </c>
      <c r="C113" s="4" t="s">
        <v>6</v>
      </c>
      <c r="D113" s="4">
        <v>2010</v>
      </c>
      <c r="E113" s="1" t="s">
        <v>176</v>
      </c>
      <c r="F113" s="13" t="s">
        <v>177</v>
      </c>
      <c r="G113" s="4"/>
      <c r="L113" s="6" t="s">
        <v>253</v>
      </c>
      <c r="M113" s="4" t="s">
        <v>266</v>
      </c>
      <c r="N113" s="13" t="s">
        <v>268</v>
      </c>
      <c r="O113" s="4" t="s">
        <v>13</v>
      </c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 t="s">
        <v>13</v>
      </c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 t="s">
        <v>13</v>
      </c>
      <c r="AM113" s="4"/>
      <c r="AN113" s="4"/>
      <c r="AO113" s="4"/>
      <c r="AP113" s="4"/>
      <c r="AQ113" s="4"/>
      <c r="AR113" s="4"/>
      <c r="AS113" s="4"/>
      <c r="AT113" s="12" t="s">
        <v>355</v>
      </c>
      <c r="AU113" s="4" t="s">
        <v>368</v>
      </c>
      <c r="AV113" s="4" t="s">
        <v>684</v>
      </c>
      <c r="AW113" s="4" t="s">
        <v>687</v>
      </c>
      <c r="AX113" s="4" t="s">
        <v>690</v>
      </c>
      <c r="AY113" s="4" t="s">
        <v>371</v>
      </c>
      <c r="AZ113" s="13" t="s">
        <v>14</v>
      </c>
      <c r="BA113" s="4" t="s">
        <v>268</v>
      </c>
      <c r="BB113" s="4" t="s">
        <v>429</v>
      </c>
      <c r="BC113" s="13" t="s">
        <v>268</v>
      </c>
      <c r="BD113" s="4">
        <v>3</v>
      </c>
      <c r="BE113" s="4" t="s">
        <v>457</v>
      </c>
      <c r="BF113" s="13" t="s">
        <v>456</v>
      </c>
      <c r="BG113" s="3"/>
    </row>
    <row r="114" spans="1:59" ht="28.5" hidden="1">
      <c r="A114" s="4">
        <v>111</v>
      </c>
      <c r="C114" s="4" t="s">
        <v>5</v>
      </c>
      <c r="D114" s="4">
        <v>2009</v>
      </c>
      <c r="E114" s="1" t="s">
        <v>178</v>
      </c>
      <c r="F114" s="13" t="s">
        <v>179</v>
      </c>
      <c r="G114" s="4"/>
      <c r="L114" s="6" t="s">
        <v>253</v>
      </c>
      <c r="M114" s="4" t="s">
        <v>292</v>
      </c>
      <c r="N114" s="13" t="s">
        <v>268</v>
      </c>
      <c r="O114" s="4"/>
      <c r="P114" s="4"/>
      <c r="Q114" s="4"/>
      <c r="R114" s="4"/>
      <c r="S114" s="4"/>
      <c r="T114" s="4"/>
      <c r="U114" s="4"/>
      <c r="V114" s="4" t="s">
        <v>13</v>
      </c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12" t="s">
        <v>351</v>
      </c>
      <c r="AU114" s="4" t="s">
        <v>368</v>
      </c>
      <c r="AV114" s="4" t="s">
        <v>684</v>
      </c>
      <c r="AW114" s="4" t="s">
        <v>687</v>
      </c>
      <c r="AX114" s="4" t="s">
        <v>690</v>
      </c>
      <c r="AY114" s="4" t="s">
        <v>371</v>
      </c>
      <c r="AZ114" s="13" t="s">
        <v>14</v>
      </c>
      <c r="BA114" s="4" t="s">
        <v>268</v>
      </c>
      <c r="BB114" s="4" t="s">
        <v>375</v>
      </c>
      <c r="BC114" s="13" t="s">
        <v>268</v>
      </c>
      <c r="BD114" s="4">
        <v>4</v>
      </c>
      <c r="BE114" s="4" t="s">
        <v>457</v>
      </c>
      <c r="BF114" s="13" t="s">
        <v>456</v>
      </c>
      <c r="BG114" s="3"/>
    </row>
    <row r="115" spans="1:59" ht="28.5" hidden="1">
      <c r="A115" s="4">
        <v>112</v>
      </c>
      <c r="B115" s="4" t="s">
        <v>9</v>
      </c>
      <c r="C115" s="4" t="s">
        <v>5</v>
      </c>
      <c r="D115" s="4">
        <v>2013</v>
      </c>
      <c r="E115" s="1" t="s">
        <v>180</v>
      </c>
      <c r="F115" s="13" t="s">
        <v>12</v>
      </c>
      <c r="G115" s="4"/>
      <c r="L115" s="6" t="s">
        <v>253</v>
      </c>
      <c r="M115" s="4" t="s">
        <v>266</v>
      </c>
      <c r="N115" s="13" t="s">
        <v>268</v>
      </c>
      <c r="O115" s="4"/>
      <c r="P115" s="4"/>
      <c r="Q115" s="4"/>
      <c r="R115" s="4"/>
      <c r="S115" s="4"/>
      <c r="T115" s="4"/>
      <c r="U115" s="4"/>
      <c r="V115" s="4" t="s">
        <v>13</v>
      </c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12" t="s">
        <v>366</v>
      </c>
      <c r="AU115" s="4" t="s">
        <v>369</v>
      </c>
      <c r="AV115" s="4" t="s">
        <v>684</v>
      </c>
      <c r="AW115" s="4" t="s">
        <v>687</v>
      </c>
      <c r="AX115" s="4" t="s">
        <v>690</v>
      </c>
      <c r="AY115" s="4" t="s">
        <v>371</v>
      </c>
      <c r="AZ115" s="13" t="s">
        <v>14</v>
      </c>
      <c r="BA115" s="4" t="s">
        <v>268</v>
      </c>
      <c r="BB115" s="4" t="s">
        <v>375</v>
      </c>
      <c r="BC115" s="13" t="s">
        <v>268</v>
      </c>
      <c r="BD115" s="4">
        <v>3</v>
      </c>
      <c r="BE115" s="4" t="s">
        <v>457</v>
      </c>
      <c r="BF115" s="13" t="s">
        <v>456</v>
      </c>
      <c r="BG115" s="3"/>
    </row>
    <row r="116" spans="1:59" ht="28.5" hidden="1">
      <c r="A116" s="4">
        <v>113</v>
      </c>
      <c r="C116" s="4" t="s">
        <v>5</v>
      </c>
      <c r="D116" s="4">
        <v>2013</v>
      </c>
      <c r="E116" s="1" t="s">
        <v>181</v>
      </c>
      <c r="F116" s="13" t="s">
        <v>182</v>
      </c>
      <c r="G116" s="4"/>
      <c r="L116" s="6" t="s">
        <v>260</v>
      </c>
      <c r="M116" s="4" t="s">
        <v>293</v>
      </c>
      <c r="N116" s="13" t="s">
        <v>294</v>
      </c>
      <c r="O116" s="4"/>
      <c r="P116" s="4"/>
      <c r="Q116" s="4"/>
      <c r="R116" s="4"/>
      <c r="S116" s="4"/>
      <c r="T116" s="4"/>
      <c r="U116" s="4"/>
      <c r="V116" s="4" t="s">
        <v>13</v>
      </c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12" t="s">
        <v>351</v>
      </c>
      <c r="AU116" s="4" t="s">
        <v>370</v>
      </c>
      <c r="AV116" s="4" t="s">
        <v>684</v>
      </c>
      <c r="AW116" s="4" t="s">
        <v>687</v>
      </c>
      <c r="AX116" s="4" t="s">
        <v>690</v>
      </c>
      <c r="AY116" s="4" t="s">
        <v>371</v>
      </c>
      <c r="AZ116" s="13" t="s">
        <v>374</v>
      </c>
      <c r="BA116" s="4" t="s">
        <v>430</v>
      </c>
      <c r="BB116" s="4" t="s">
        <v>414</v>
      </c>
      <c r="BC116" s="13" t="s">
        <v>431</v>
      </c>
      <c r="BD116" s="4">
        <v>5</v>
      </c>
      <c r="BE116" s="4" t="s">
        <v>457</v>
      </c>
      <c r="BF116" s="13" t="s">
        <v>456</v>
      </c>
      <c r="BG116" s="3"/>
    </row>
    <row r="117" spans="1:59" ht="28.5" hidden="1">
      <c r="A117" s="4">
        <v>114</v>
      </c>
      <c r="C117" s="4" t="s">
        <v>5</v>
      </c>
      <c r="D117" s="4">
        <v>2009</v>
      </c>
      <c r="E117" s="1" t="s">
        <v>183</v>
      </c>
      <c r="F117" s="13" t="s">
        <v>184</v>
      </c>
      <c r="G117" s="4"/>
      <c r="L117" s="31" t="s">
        <v>256</v>
      </c>
      <c r="M117" s="4" t="s">
        <v>266</v>
      </c>
      <c r="N117" s="33" t="s">
        <v>268</v>
      </c>
      <c r="O117" s="4" t="s">
        <v>13</v>
      </c>
      <c r="P117" s="4"/>
      <c r="Q117" s="4"/>
      <c r="R117" s="4"/>
      <c r="S117" s="4" t="s">
        <v>13</v>
      </c>
      <c r="T117" s="4"/>
      <c r="U117" s="4"/>
      <c r="V117" s="4"/>
      <c r="W117" s="4"/>
      <c r="X117" s="4"/>
      <c r="Y117" s="4"/>
      <c r="Z117" s="4"/>
      <c r="AA117" s="4"/>
      <c r="AB117" s="4" t="s">
        <v>13</v>
      </c>
      <c r="AC117" s="4"/>
      <c r="AD117" s="4"/>
      <c r="AE117" s="4"/>
      <c r="AF117" s="4"/>
      <c r="AG117" s="4"/>
      <c r="AH117" s="4"/>
      <c r="AI117" s="4"/>
      <c r="AJ117" s="4"/>
      <c r="AK117" s="4"/>
      <c r="AL117" s="4" t="s">
        <v>13</v>
      </c>
      <c r="AM117" s="4"/>
      <c r="AN117" s="4"/>
      <c r="AO117" s="4"/>
      <c r="AP117" s="4"/>
      <c r="AQ117" s="4"/>
      <c r="AR117" s="4"/>
      <c r="AS117" s="4"/>
      <c r="AT117" s="12" t="s">
        <v>359</v>
      </c>
      <c r="AU117" s="4" t="s">
        <v>368</v>
      </c>
      <c r="AV117" s="4" t="s">
        <v>684</v>
      </c>
      <c r="AW117" s="4" t="s">
        <v>687</v>
      </c>
      <c r="AX117" s="4" t="s">
        <v>690</v>
      </c>
      <c r="AY117" s="4" t="s">
        <v>371</v>
      </c>
      <c r="AZ117" s="13" t="s">
        <v>14</v>
      </c>
      <c r="BA117" s="4" t="s">
        <v>389</v>
      </c>
      <c r="BB117" s="4" t="s">
        <v>642</v>
      </c>
      <c r="BC117" s="13" t="s">
        <v>441</v>
      </c>
      <c r="BD117" s="4">
        <v>3</v>
      </c>
      <c r="BE117" s="4" t="s">
        <v>457</v>
      </c>
      <c r="BF117" s="13" t="s">
        <v>454</v>
      </c>
      <c r="BG117" s="3"/>
    </row>
    <row r="118" spans="1:59" ht="28.5" hidden="1">
      <c r="A118" s="4">
        <v>115</v>
      </c>
      <c r="C118" s="4" t="s">
        <v>6</v>
      </c>
      <c r="D118" s="4">
        <v>2011</v>
      </c>
      <c r="E118" s="1" t="s">
        <v>185</v>
      </c>
      <c r="F118" s="13" t="s">
        <v>186</v>
      </c>
      <c r="G118" s="4"/>
      <c r="L118" s="6" t="s">
        <v>253</v>
      </c>
      <c r="M118" s="4" t="s">
        <v>266</v>
      </c>
      <c r="N118" s="13" t="s">
        <v>268</v>
      </c>
      <c r="O118" s="4" t="s">
        <v>13</v>
      </c>
      <c r="P118" s="4"/>
      <c r="Q118" s="4"/>
      <c r="R118" s="4"/>
      <c r="S118" s="4" t="s">
        <v>13</v>
      </c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12" t="s">
        <v>359</v>
      </c>
      <c r="AU118" s="4" t="s">
        <v>368</v>
      </c>
      <c r="AV118" s="4" t="s">
        <v>684</v>
      </c>
      <c r="AW118" s="4" t="s">
        <v>687</v>
      </c>
      <c r="AX118" s="4" t="s">
        <v>690</v>
      </c>
      <c r="AY118" s="4" t="s">
        <v>371</v>
      </c>
      <c r="AZ118" s="13" t="s">
        <v>14</v>
      </c>
      <c r="BA118" s="4" t="s">
        <v>268</v>
      </c>
      <c r="BB118" s="4" t="s">
        <v>375</v>
      </c>
      <c r="BC118" s="13" t="s">
        <v>268</v>
      </c>
      <c r="BD118" s="4">
        <v>3</v>
      </c>
      <c r="BE118" s="4" t="s">
        <v>457</v>
      </c>
      <c r="BF118" s="13" t="s">
        <v>456</v>
      </c>
      <c r="BG118" s="3"/>
    </row>
    <row r="119" spans="1:59" ht="28.5" hidden="1">
      <c r="A119" s="4">
        <v>116</v>
      </c>
      <c r="B119" s="4" t="s">
        <v>4</v>
      </c>
      <c r="C119" s="4" t="s">
        <v>6</v>
      </c>
      <c r="D119" s="4">
        <v>2010</v>
      </c>
      <c r="E119" s="1" t="s">
        <v>187</v>
      </c>
      <c r="F119" s="13" t="s">
        <v>188</v>
      </c>
      <c r="G119" s="4"/>
      <c r="L119" s="6" t="s">
        <v>253</v>
      </c>
      <c r="M119" s="4" t="s">
        <v>266</v>
      </c>
      <c r="N119" s="13" t="s">
        <v>268</v>
      </c>
      <c r="O119" s="4" t="s">
        <v>13</v>
      </c>
      <c r="P119" s="4"/>
      <c r="Q119" s="4"/>
      <c r="R119" s="4"/>
      <c r="S119" s="4" t="s">
        <v>13</v>
      </c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12" t="s">
        <v>359</v>
      </c>
      <c r="AU119" s="4" t="s">
        <v>368</v>
      </c>
      <c r="AV119" s="4" t="s">
        <v>684</v>
      </c>
      <c r="AW119" s="4" t="s">
        <v>687</v>
      </c>
      <c r="AX119" s="4" t="s">
        <v>690</v>
      </c>
      <c r="AY119" s="4" t="s">
        <v>371</v>
      </c>
      <c r="AZ119" s="13" t="s">
        <v>14</v>
      </c>
      <c r="BA119" s="4" t="s">
        <v>268</v>
      </c>
      <c r="BB119" s="4" t="s">
        <v>432</v>
      </c>
      <c r="BC119" s="13" t="s">
        <v>268</v>
      </c>
      <c r="BD119" s="4">
        <v>4</v>
      </c>
      <c r="BE119" s="4" t="s">
        <v>457</v>
      </c>
      <c r="BF119" s="13" t="s">
        <v>456</v>
      </c>
      <c r="BG119" s="3"/>
    </row>
    <row r="120" spans="1:59" ht="28.5" hidden="1">
      <c r="A120" s="4">
        <v>117</v>
      </c>
      <c r="C120" s="4" t="s">
        <v>7</v>
      </c>
      <c r="D120" s="4">
        <v>2010</v>
      </c>
      <c r="E120" s="1" t="s">
        <v>189</v>
      </c>
      <c r="F120" s="13" t="s">
        <v>190</v>
      </c>
      <c r="G120" s="4"/>
      <c r="L120" s="6" t="s">
        <v>253</v>
      </c>
      <c r="M120" s="4" t="s">
        <v>266</v>
      </c>
      <c r="N120" s="13" t="s">
        <v>268</v>
      </c>
      <c r="O120" s="4" t="s">
        <v>13</v>
      </c>
      <c r="P120" s="4"/>
      <c r="Q120" s="4"/>
      <c r="R120" s="4"/>
      <c r="S120" s="4" t="s">
        <v>13</v>
      </c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12" t="s">
        <v>351</v>
      </c>
      <c r="AU120" s="4" t="s">
        <v>368</v>
      </c>
      <c r="AV120" s="4" t="s">
        <v>684</v>
      </c>
      <c r="AW120" s="4" t="s">
        <v>687</v>
      </c>
      <c r="AX120" s="4" t="s">
        <v>690</v>
      </c>
      <c r="AY120" s="4" t="s">
        <v>371</v>
      </c>
      <c r="AZ120" s="13" t="s">
        <v>14</v>
      </c>
      <c r="BA120" s="4" t="s">
        <v>268</v>
      </c>
      <c r="BB120" s="4" t="s">
        <v>432</v>
      </c>
      <c r="BC120" s="13" t="s">
        <v>433</v>
      </c>
      <c r="BD120" s="4">
        <v>4</v>
      </c>
      <c r="BE120" s="4" t="s">
        <v>457</v>
      </c>
      <c r="BF120" s="13" t="s">
        <v>456</v>
      </c>
      <c r="BG120" s="3"/>
    </row>
    <row r="121" spans="1:59" ht="28.5" hidden="1">
      <c r="A121" s="4">
        <v>118</v>
      </c>
      <c r="B121" s="4" t="s">
        <v>4</v>
      </c>
      <c r="C121" s="4" t="s">
        <v>6</v>
      </c>
      <c r="D121" s="4">
        <v>2010</v>
      </c>
      <c r="E121" s="1" t="s">
        <v>191</v>
      </c>
      <c r="F121" s="13" t="s">
        <v>192</v>
      </c>
      <c r="G121" s="4"/>
      <c r="L121" s="6" t="s">
        <v>253</v>
      </c>
      <c r="M121" s="4" t="s">
        <v>266</v>
      </c>
      <c r="N121" s="13" t="s">
        <v>268</v>
      </c>
      <c r="O121" s="4" t="s">
        <v>13</v>
      </c>
      <c r="P121" s="4"/>
      <c r="Q121" s="4"/>
      <c r="R121" s="4"/>
      <c r="S121" s="4" t="s">
        <v>13</v>
      </c>
      <c r="T121" s="4" t="s">
        <v>13</v>
      </c>
      <c r="U121" s="4"/>
      <c r="V121" s="4" t="s">
        <v>13</v>
      </c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12" t="s">
        <v>360</v>
      </c>
      <c r="AU121" s="4" t="s">
        <v>368</v>
      </c>
      <c r="AV121" s="4" t="s">
        <v>684</v>
      </c>
      <c r="AW121" s="4" t="s">
        <v>687</v>
      </c>
      <c r="AX121" s="4" t="s">
        <v>690</v>
      </c>
      <c r="AY121" s="4" t="s">
        <v>371</v>
      </c>
      <c r="AZ121" s="13" t="s">
        <v>14</v>
      </c>
      <c r="BA121" s="4" t="s">
        <v>268</v>
      </c>
      <c r="BB121" s="4" t="s">
        <v>432</v>
      </c>
      <c r="BC121" s="13" t="s">
        <v>433</v>
      </c>
      <c r="BD121" s="4">
        <v>5</v>
      </c>
      <c r="BE121" s="4" t="s">
        <v>457</v>
      </c>
      <c r="BF121" s="13" t="s">
        <v>456</v>
      </c>
      <c r="BG121" s="3"/>
    </row>
    <row r="122" spans="1:59" ht="28.5" hidden="1">
      <c r="A122" s="4">
        <v>119</v>
      </c>
      <c r="C122" s="4" t="s">
        <v>6</v>
      </c>
      <c r="D122" s="4">
        <v>2014</v>
      </c>
      <c r="E122" s="1" t="s">
        <v>193</v>
      </c>
      <c r="F122" s="13" t="s">
        <v>194</v>
      </c>
      <c r="G122" s="4"/>
      <c r="L122" s="6" t="s">
        <v>261</v>
      </c>
      <c r="M122" s="4" t="s">
        <v>295</v>
      </c>
      <c r="N122" s="13" t="s">
        <v>311</v>
      </c>
      <c r="O122" s="4" t="s">
        <v>13</v>
      </c>
      <c r="P122" s="4"/>
      <c r="Q122" s="4"/>
      <c r="R122" s="4"/>
      <c r="S122" s="4"/>
      <c r="T122" s="4"/>
      <c r="U122" s="4"/>
      <c r="V122" s="4" t="s">
        <v>13</v>
      </c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12" t="s">
        <v>355</v>
      </c>
      <c r="AU122" s="4" t="s">
        <v>369</v>
      </c>
      <c r="AV122" s="4" t="s">
        <v>684</v>
      </c>
      <c r="AW122" s="4" t="s">
        <v>687</v>
      </c>
      <c r="AX122" s="4" t="s">
        <v>690</v>
      </c>
      <c r="AY122" s="4" t="s">
        <v>371</v>
      </c>
      <c r="AZ122" s="13" t="s">
        <v>374</v>
      </c>
      <c r="BA122" s="4" t="s">
        <v>268</v>
      </c>
      <c r="BB122" s="4" t="s">
        <v>432</v>
      </c>
      <c r="BC122" s="13" t="s">
        <v>434</v>
      </c>
      <c r="BD122" s="4">
        <v>4</v>
      </c>
      <c r="BE122" s="4" t="s">
        <v>454</v>
      </c>
      <c r="BF122" s="13" t="s">
        <v>456</v>
      </c>
      <c r="BG122" s="3"/>
    </row>
    <row r="123" spans="1:59" ht="28.5" hidden="1">
      <c r="A123" s="4">
        <v>120</v>
      </c>
      <c r="C123" s="4" t="s">
        <v>5</v>
      </c>
      <c r="D123" s="4">
        <v>2009</v>
      </c>
      <c r="E123" s="1" t="s">
        <v>195</v>
      </c>
      <c r="F123" s="13" t="s">
        <v>151</v>
      </c>
      <c r="G123" s="4"/>
      <c r="L123" s="6" t="s">
        <v>253</v>
      </c>
      <c r="M123" s="4" t="s">
        <v>266</v>
      </c>
      <c r="N123" s="13" t="s">
        <v>268</v>
      </c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 t="s">
        <v>13</v>
      </c>
      <c r="Z123" s="4" t="s">
        <v>13</v>
      </c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12" t="s">
        <v>349</v>
      </c>
      <c r="AU123" s="4" t="s">
        <v>368</v>
      </c>
      <c r="AV123" s="4" t="s">
        <v>684</v>
      </c>
      <c r="AW123" s="4" t="s">
        <v>687</v>
      </c>
      <c r="AX123" s="4" t="s">
        <v>690</v>
      </c>
      <c r="AY123" s="4" t="s">
        <v>371</v>
      </c>
      <c r="AZ123" s="13" t="s">
        <v>14</v>
      </c>
      <c r="BA123" s="4" t="s">
        <v>268</v>
      </c>
      <c r="BB123" s="4" t="s">
        <v>432</v>
      </c>
      <c r="BC123" s="13" t="s">
        <v>434</v>
      </c>
      <c r="BD123" s="4">
        <v>3</v>
      </c>
      <c r="BE123" s="4" t="s">
        <v>457</v>
      </c>
      <c r="BF123" s="13" t="s">
        <v>456</v>
      </c>
      <c r="BG123" s="3"/>
    </row>
    <row r="124" spans="1:59" ht="30" hidden="1">
      <c r="A124" s="4">
        <v>121</v>
      </c>
      <c r="B124" s="4" t="s">
        <v>4</v>
      </c>
      <c r="C124" s="4" t="s">
        <v>7</v>
      </c>
      <c r="D124" s="4">
        <v>2011</v>
      </c>
      <c r="E124" s="1" t="s">
        <v>196</v>
      </c>
      <c r="F124" s="13" t="s">
        <v>197</v>
      </c>
      <c r="G124" s="4"/>
      <c r="L124" s="6" t="s">
        <v>260</v>
      </c>
      <c r="M124" s="4" t="s">
        <v>266</v>
      </c>
      <c r="N124" s="13" t="s">
        <v>296</v>
      </c>
      <c r="O124" s="4" t="s">
        <v>13</v>
      </c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12" t="s">
        <v>355</v>
      </c>
      <c r="AU124" s="4" t="s">
        <v>368</v>
      </c>
      <c r="AV124" s="4" t="s">
        <v>684</v>
      </c>
      <c r="AW124" s="4" t="s">
        <v>687</v>
      </c>
      <c r="AX124" s="4" t="s">
        <v>690</v>
      </c>
      <c r="AY124" s="4" t="s">
        <v>371</v>
      </c>
      <c r="AZ124" s="13" t="s">
        <v>14</v>
      </c>
      <c r="BA124" s="4" t="s">
        <v>435</v>
      </c>
      <c r="BB124" s="4" t="s">
        <v>405</v>
      </c>
      <c r="BC124" s="13" t="s">
        <v>434</v>
      </c>
      <c r="BD124" s="4">
        <v>4</v>
      </c>
      <c r="BE124" s="4" t="s">
        <v>457</v>
      </c>
      <c r="BF124" s="13" t="s">
        <v>456</v>
      </c>
      <c r="BG124" s="3"/>
    </row>
    <row r="125" spans="1:59" ht="42.75" hidden="1">
      <c r="A125" s="4">
        <v>122</v>
      </c>
      <c r="B125" s="4" t="s">
        <v>9</v>
      </c>
      <c r="C125" s="4" t="s">
        <v>5</v>
      </c>
      <c r="D125" s="4">
        <v>2011</v>
      </c>
      <c r="E125" s="1" t="s">
        <v>198</v>
      </c>
      <c r="F125" s="13" t="s">
        <v>167</v>
      </c>
      <c r="G125" s="4"/>
      <c r="L125" s="6" t="s">
        <v>260</v>
      </c>
      <c r="M125" s="4" t="s">
        <v>266</v>
      </c>
      <c r="N125" s="13" t="s">
        <v>296</v>
      </c>
      <c r="O125" s="4" t="s">
        <v>13</v>
      </c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12" t="s">
        <v>355</v>
      </c>
      <c r="AU125" s="4" t="s">
        <v>368</v>
      </c>
      <c r="AV125" s="4" t="s">
        <v>684</v>
      </c>
      <c r="AW125" s="4" t="s">
        <v>687</v>
      </c>
      <c r="AX125" s="4" t="s">
        <v>690</v>
      </c>
      <c r="AY125" s="4" t="s">
        <v>371</v>
      </c>
      <c r="AZ125" s="13" t="s">
        <v>14</v>
      </c>
      <c r="BA125" s="4" t="s">
        <v>268</v>
      </c>
      <c r="BB125" s="4" t="s">
        <v>405</v>
      </c>
      <c r="BC125" s="13" t="s">
        <v>436</v>
      </c>
      <c r="BD125" s="4">
        <v>8</v>
      </c>
      <c r="BE125" s="4" t="s">
        <v>454</v>
      </c>
      <c r="BF125" s="13" t="s">
        <v>457</v>
      </c>
      <c r="BG125" s="3"/>
    </row>
    <row r="126" spans="1:59" ht="28.5" hidden="1">
      <c r="A126" s="4">
        <v>123</v>
      </c>
      <c r="B126" s="4" t="s">
        <v>4</v>
      </c>
      <c r="C126" s="4" t="s">
        <v>7</v>
      </c>
      <c r="D126" s="4">
        <v>2011</v>
      </c>
      <c r="E126" s="1" t="s">
        <v>199</v>
      </c>
      <c r="F126" s="13" t="s">
        <v>200</v>
      </c>
      <c r="G126" s="4"/>
      <c r="L126" s="6" t="s">
        <v>254</v>
      </c>
      <c r="M126" s="4" t="s">
        <v>266</v>
      </c>
      <c r="N126" s="13" t="s">
        <v>268</v>
      </c>
      <c r="O126" s="4" t="s">
        <v>13</v>
      </c>
      <c r="P126" s="4"/>
      <c r="Q126" s="4"/>
      <c r="R126" s="4"/>
      <c r="S126" s="4"/>
      <c r="T126" s="4"/>
      <c r="U126" s="4"/>
      <c r="V126" s="4" t="s">
        <v>13</v>
      </c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12" t="s">
        <v>355</v>
      </c>
      <c r="AU126" s="4" t="s">
        <v>368</v>
      </c>
      <c r="AV126" s="4" t="s">
        <v>684</v>
      </c>
      <c r="AW126" s="4" t="s">
        <v>687</v>
      </c>
      <c r="AX126" s="4" t="s">
        <v>690</v>
      </c>
      <c r="AY126" s="4" t="s">
        <v>371</v>
      </c>
      <c r="AZ126" s="13" t="s">
        <v>14</v>
      </c>
      <c r="BA126" s="4" t="s">
        <v>268</v>
      </c>
      <c r="BB126" s="4" t="s">
        <v>405</v>
      </c>
      <c r="BC126" s="13" t="s">
        <v>400</v>
      </c>
      <c r="BD126" s="4">
        <v>6</v>
      </c>
      <c r="BE126" s="4" t="s">
        <v>454</v>
      </c>
      <c r="BF126" s="13" t="s">
        <v>456</v>
      </c>
      <c r="BG126" s="3"/>
    </row>
    <row r="127" spans="1:59" ht="42.75" hidden="1">
      <c r="A127" s="4">
        <v>124</v>
      </c>
      <c r="C127" s="4" t="s">
        <v>7</v>
      </c>
      <c r="D127" s="4">
        <v>2011</v>
      </c>
      <c r="E127" s="1" t="s">
        <v>201</v>
      </c>
      <c r="F127" s="13" t="s">
        <v>202</v>
      </c>
      <c r="G127" s="4"/>
      <c r="L127" s="6" t="s">
        <v>253</v>
      </c>
      <c r="M127" s="4" t="s">
        <v>266</v>
      </c>
      <c r="N127" s="13" t="s">
        <v>268</v>
      </c>
      <c r="O127" s="4" t="s">
        <v>13</v>
      </c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12" t="s">
        <v>355</v>
      </c>
      <c r="AU127" s="4" t="s">
        <v>368</v>
      </c>
      <c r="AV127" s="4" t="s">
        <v>684</v>
      </c>
      <c r="AW127" s="4" t="s">
        <v>687</v>
      </c>
      <c r="AX127" s="4" t="s">
        <v>690</v>
      </c>
      <c r="AY127" s="4" t="s">
        <v>371</v>
      </c>
      <c r="AZ127" s="13" t="s">
        <v>14</v>
      </c>
      <c r="BA127" s="4" t="s">
        <v>378</v>
      </c>
      <c r="BB127" s="4" t="s">
        <v>405</v>
      </c>
      <c r="BC127" s="13" t="s">
        <v>437</v>
      </c>
      <c r="BD127" s="4">
        <v>5</v>
      </c>
      <c r="BE127" s="4" t="s">
        <v>457</v>
      </c>
      <c r="BF127" s="13" t="s">
        <v>456</v>
      </c>
      <c r="BG127" s="3"/>
    </row>
    <row r="128" spans="1:59" ht="28.5" hidden="1">
      <c r="A128" s="4">
        <v>125</v>
      </c>
      <c r="C128" s="4" t="s">
        <v>6</v>
      </c>
      <c r="D128" s="4">
        <v>2013</v>
      </c>
      <c r="E128" s="1" t="s">
        <v>203</v>
      </c>
      <c r="F128" s="13" t="s">
        <v>186</v>
      </c>
      <c r="G128" s="4"/>
      <c r="L128" s="6" t="s">
        <v>253</v>
      </c>
      <c r="M128" s="4" t="s">
        <v>266</v>
      </c>
      <c r="N128" s="13" t="s">
        <v>268</v>
      </c>
      <c r="O128" s="4" t="s">
        <v>13</v>
      </c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12" t="s">
        <v>359</v>
      </c>
      <c r="AU128" s="4" t="s">
        <v>368</v>
      </c>
      <c r="AV128" s="4" t="s">
        <v>684</v>
      </c>
      <c r="AW128" s="4" t="s">
        <v>687</v>
      </c>
      <c r="AX128" s="4" t="s">
        <v>690</v>
      </c>
      <c r="AY128" s="4" t="s">
        <v>371</v>
      </c>
      <c r="AZ128" s="13" t="s">
        <v>14</v>
      </c>
      <c r="BA128" s="4" t="s">
        <v>268</v>
      </c>
      <c r="BB128" s="4" t="s">
        <v>268</v>
      </c>
      <c r="BC128" s="13" t="s">
        <v>268</v>
      </c>
      <c r="BD128" s="4">
        <v>4</v>
      </c>
      <c r="BE128" s="4" t="s">
        <v>457</v>
      </c>
      <c r="BF128" s="13" t="s">
        <v>456</v>
      </c>
      <c r="BG128" s="3"/>
    </row>
    <row r="129" spans="1:59" ht="28.5" hidden="1">
      <c r="A129" s="4">
        <v>126</v>
      </c>
      <c r="B129" s="4" t="s">
        <v>8</v>
      </c>
      <c r="C129" s="4" t="s">
        <v>7</v>
      </c>
      <c r="D129" s="4">
        <v>2009</v>
      </c>
      <c r="E129" s="1" t="s">
        <v>204</v>
      </c>
      <c r="F129" s="13" t="s">
        <v>205</v>
      </c>
      <c r="G129" s="4"/>
      <c r="L129" s="6" t="s">
        <v>253</v>
      </c>
      <c r="M129" s="4" t="s">
        <v>266</v>
      </c>
      <c r="N129" s="13" t="s">
        <v>268</v>
      </c>
      <c r="O129" s="4" t="s">
        <v>13</v>
      </c>
      <c r="P129" s="4"/>
      <c r="Q129" s="4"/>
      <c r="R129" s="4"/>
      <c r="S129" s="4" t="s">
        <v>13</v>
      </c>
      <c r="T129" s="4"/>
      <c r="U129" s="4"/>
      <c r="V129" s="4" t="s">
        <v>13</v>
      </c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12" t="s">
        <v>360</v>
      </c>
      <c r="AU129" s="4" t="s">
        <v>368</v>
      </c>
      <c r="AV129" s="4" t="s">
        <v>684</v>
      </c>
      <c r="AW129" s="4" t="s">
        <v>687</v>
      </c>
      <c r="AX129" s="4" t="s">
        <v>690</v>
      </c>
      <c r="AY129" s="4" t="s">
        <v>371</v>
      </c>
      <c r="AZ129" s="13" t="s">
        <v>14</v>
      </c>
      <c r="BA129" s="4" t="s">
        <v>268</v>
      </c>
      <c r="BB129" s="4" t="s">
        <v>405</v>
      </c>
      <c r="BC129" s="13" t="s">
        <v>400</v>
      </c>
      <c r="BD129" s="4">
        <v>4</v>
      </c>
      <c r="BE129" s="4" t="s">
        <v>457</v>
      </c>
      <c r="BF129" s="13" t="s">
        <v>456</v>
      </c>
      <c r="BG129" s="3"/>
    </row>
    <row r="130" spans="1:59" ht="28.5" hidden="1">
      <c r="A130" s="4">
        <v>127</v>
      </c>
      <c r="B130" s="4" t="s">
        <v>4</v>
      </c>
      <c r="C130" s="4" t="s">
        <v>6</v>
      </c>
      <c r="D130" s="4">
        <v>2011</v>
      </c>
      <c r="E130" s="1" t="s">
        <v>206</v>
      </c>
      <c r="F130" s="13" t="s">
        <v>207</v>
      </c>
      <c r="G130" s="4"/>
      <c r="L130" s="6" t="s">
        <v>253</v>
      </c>
      <c r="M130" s="4" t="s">
        <v>266</v>
      </c>
      <c r="N130" s="13" t="s">
        <v>268</v>
      </c>
      <c r="O130" s="4" t="s">
        <v>13</v>
      </c>
      <c r="P130" s="4"/>
      <c r="Q130" s="4"/>
      <c r="R130" s="4"/>
      <c r="S130" s="4" t="s">
        <v>13</v>
      </c>
      <c r="T130" s="4"/>
      <c r="U130" s="4"/>
      <c r="V130" s="4" t="s">
        <v>13</v>
      </c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12" t="s">
        <v>355</v>
      </c>
      <c r="AU130" s="4" t="s">
        <v>368</v>
      </c>
      <c r="AV130" s="4" t="s">
        <v>684</v>
      </c>
      <c r="AW130" s="4" t="s">
        <v>687</v>
      </c>
      <c r="AX130" s="4" t="s">
        <v>690</v>
      </c>
      <c r="AY130" s="4" t="s">
        <v>371</v>
      </c>
      <c r="AZ130" s="13" t="s">
        <v>14</v>
      </c>
      <c r="BA130" s="4" t="s">
        <v>268</v>
      </c>
      <c r="BB130" s="4" t="s">
        <v>432</v>
      </c>
      <c r="BC130" s="13" t="s">
        <v>434</v>
      </c>
      <c r="BD130" s="4">
        <v>6</v>
      </c>
      <c r="BE130" s="4" t="s">
        <v>457</v>
      </c>
      <c r="BF130" s="13" t="s">
        <v>457</v>
      </c>
      <c r="BG130" s="3"/>
    </row>
    <row r="131" spans="1:59" ht="28.5" hidden="1">
      <c r="A131" s="4">
        <v>128</v>
      </c>
      <c r="C131" s="4" t="s">
        <v>7</v>
      </c>
      <c r="D131" s="4">
        <v>2008</v>
      </c>
      <c r="E131" s="1" t="s">
        <v>208</v>
      </c>
      <c r="F131" s="13" t="s">
        <v>205</v>
      </c>
      <c r="G131" s="4"/>
      <c r="L131" s="6" t="s">
        <v>253</v>
      </c>
      <c r="M131" s="4" t="s">
        <v>266</v>
      </c>
      <c r="N131" s="13" t="s">
        <v>268</v>
      </c>
      <c r="O131" s="4" t="s">
        <v>13</v>
      </c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 t="s">
        <v>13</v>
      </c>
      <c r="AG131" s="4"/>
      <c r="AH131" s="4"/>
      <c r="AI131" s="4"/>
      <c r="AJ131" s="4"/>
      <c r="AK131" s="4"/>
      <c r="AL131" s="4"/>
      <c r="AM131" s="4"/>
      <c r="AN131" s="4" t="s">
        <v>13</v>
      </c>
      <c r="AO131" s="4"/>
      <c r="AP131" s="4"/>
      <c r="AQ131" s="4"/>
      <c r="AR131" s="4"/>
      <c r="AS131" s="4"/>
      <c r="AT131" s="12" t="s">
        <v>360</v>
      </c>
      <c r="AU131" s="4" t="s">
        <v>368</v>
      </c>
      <c r="AV131" s="4" t="s">
        <v>684</v>
      </c>
      <c r="AW131" s="4" t="s">
        <v>687</v>
      </c>
      <c r="AX131" s="4" t="s">
        <v>690</v>
      </c>
      <c r="AY131" s="4" t="s">
        <v>371</v>
      </c>
      <c r="AZ131" s="13" t="s">
        <v>14</v>
      </c>
      <c r="BA131" s="4" t="s">
        <v>268</v>
      </c>
      <c r="BB131" s="4" t="s">
        <v>414</v>
      </c>
      <c r="BC131" s="13" t="s">
        <v>400</v>
      </c>
      <c r="BD131" s="4">
        <v>4</v>
      </c>
      <c r="BE131" s="4" t="s">
        <v>457</v>
      </c>
      <c r="BF131" s="13" t="s">
        <v>456</v>
      </c>
      <c r="BG131" s="3"/>
    </row>
    <row r="132" spans="1:59" ht="42.75" hidden="1">
      <c r="A132" s="4">
        <v>129</v>
      </c>
      <c r="B132" s="4" t="s">
        <v>4</v>
      </c>
      <c r="C132" s="4" t="s">
        <v>6</v>
      </c>
      <c r="D132" s="4">
        <v>2011</v>
      </c>
      <c r="E132" s="1" t="s">
        <v>209</v>
      </c>
      <c r="F132" s="13" t="s">
        <v>210</v>
      </c>
      <c r="G132" s="4"/>
      <c r="L132" s="6" t="s">
        <v>253</v>
      </c>
      <c r="M132" s="4" t="s">
        <v>266</v>
      </c>
      <c r="N132" s="13" t="s">
        <v>268</v>
      </c>
      <c r="O132" s="4" t="s">
        <v>13</v>
      </c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12" t="s">
        <v>355</v>
      </c>
      <c r="AU132" s="4" t="s">
        <v>368</v>
      </c>
      <c r="AV132" s="4" t="s">
        <v>684</v>
      </c>
      <c r="AW132" s="4" t="s">
        <v>687</v>
      </c>
      <c r="AX132" s="4" t="s">
        <v>690</v>
      </c>
      <c r="AY132" s="4" t="s">
        <v>371</v>
      </c>
      <c r="AZ132" s="13" t="s">
        <v>14</v>
      </c>
      <c r="BA132" s="4" t="s">
        <v>268</v>
      </c>
      <c r="BB132" s="4" t="s">
        <v>405</v>
      </c>
      <c r="BC132" s="13" t="s">
        <v>400</v>
      </c>
      <c r="BD132" s="4">
        <v>3</v>
      </c>
      <c r="BE132" s="4" t="s">
        <v>457</v>
      </c>
      <c r="BF132" s="13" t="s">
        <v>456</v>
      </c>
      <c r="BG132" s="3"/>
    </row>
    <row r="133" spans="1:59" ht="28.5" hidden="1">
      <c r="A133" s="4">
        <v>130</v>
      </c>
      <c r="B133" s="4" t="s">
        <v>4</v>
      </c>
      <c r="C133" s="4" t="s">
        <v>6</v>
      </c>
      <c r="D133" s="4">
        <v>2013</v>
      </c>
      <c r="E133" s="1" t="s">
        <v>211</v>
      </c>
      <c r="F133" s="13" t="s">
        <v>212</v>
      </c>
      <c r="G133" s="4"/>
      <c r="L133" s="6" t="s">
        <v>253</v>
      </c>
      <c r="M133" s="4" t="s">
        <v>297</v>
      </c>
      <c r="N133" s="13" t="s">
        <v>268</v>
      </c>
      <c r="O133" s="4" t="s">
        <v>13</v>
      </c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12" t="s">
        <v>359</v>
      </c>
      <c r="AU133" s="4" t="s">
        <v>368</v>
      </c>
      <c r="AV133" s="4" t="s">
        <v>684</v>
      </c>
      <c r="AW133" s="4" t="s">
        <v>687</v>
      </c>
      <c r="AX133" s="4" t="s">
        <v>690</v>
      </c>
      <c r="AY133" s="4" t="s">
        <v>371</v>
      </c>
      <c r="AZ133" s="13" t="s">
        <v>14</v>
      </c>
      <c r="BA133" s="4" t="s">
        <v>268</v>
      </c>
      <c r="BB133" s="4" t="s">
        <v>375</v>
      </c>
      <c r="BC133" s="13" t="s">
        <v>268</v>
      </c>
      <c r="BD133" s="4">
        <v>3</v>
      </c>
      <c r="BE133" s="4" t="s">
        <v>457</v>
      </c>
      <c r="BF133" s="13" t="s">
        <v>456</v>
      </c>
      <c r="BG133" s="3"/>
    </row>
    <row r="134" spans="1:59" ht="28.5" hidden="1">
      <c r="A134" s="4">
        <v>131</v>
      </c>
      <c r="B134" s="4" t="s">
        <v>8</v>
      </c>
      <c r="C134" s="4" t="s">
        <v>7</v>
      </c>
      <c r="D134" s="4">
        <v>2010</v>
      </c>
      <c r="E134" s="1" t="s">
        <v>213</v>
      </c>
      <c r="F134" s="13" t="s">
        <v>214</v>
      </c>
      <c r="G134" s="4"/>
      <c r="L134" s="6" t="s">
        <v>253</v>
      </c>
      <c r="M134" s="4" t="s">
        <v>266</v>
      </c>
      <c r="N134" s="13" t="s">
        <v>268</v>
      </c>
      <c r="O134" s="4" t="s">
        <v>13</v>
      </c>
      <c r="P134" s="4"/>
      <c r="Q134" s="4"/>
      <c r="R134" s="4"/>
      <c r="S134" s="4"/>
      <c r="T134" s="4"/>
      <c r="U134" s="4"/>
      <c r="V134" s="4" t="s">
        <v>13</v>
      </c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12" t="s">
        <v>351</v>
      </c>
      <c r="AU134" s="4" t="s">
        <v>368</v>
      </c>
      <c r="AV134" s="4" t="s">
        <v>684</v>
      </c>
      <c r="AW134" s="4" t="s">
        <v>687</v>
      </c>
      <c r="AX134" s="4" t="s">
        <v>690</v>
      </c>
      <c r="AY134" s="4" t="s">
        <v>371</v>
      </c>
      <c r="AZ134" s="13" t="s">
        <v>14</v>
      </c>
      <c r="BA134" s="4" t="s">
        <v>268</v>
      </c>
      <c r="BB134" s="4" t="s">
        <v>268</v>
      </c>
      <c r="BC134" s="13" t="s">
        <v>268</v>
      </c>
      <c r="BD134" s="4">
        <v>4</v>
      </c>
      <c r="BE134" s="4" t="s">
        <v>457</v>
      </c>
      <c r="BF134" s="13" t="s">
        <v>456</v>
      </c>
      <c r="BG134" s="3"/>
    </row>
    <row r="135" spans="1:59" ht="28.5" hidden="1">
      <c r="A135" s="4">
        <v>132</v>
      </c>
      <c r="B135" s="4" t="s">
        <v>4</v>
      </c>
      <c r="C135" s="4" t="s">
        <v>6</v>
      </c>
      <c r="D135" s="4">
        <v>2013</v>
      </c>
      <c r="E135" s="1" t="s">
        <v>215</v>
      </c>
      <c r="F135" s="13" t="s">
        <v>216</v>
      </c>
      <c r="G135" s="4"/>
      <c r="L135" s="6" t="s">
        <v>253</v>
      </c>
      <c r="M135" s="4" t="s">
        <v>266</v>
      </c>
      <c r="N135" s="13" t="s">
        <v>268</v>
      </c>
      <c r="O135" s="4"/>
      <c r="P135" s="4"/>
      <c r="Q135" s="4"/>
      <c r="R135" s="4"/>
      <c r="S135" s="4"/>
      <c r="T135" s="4"/>
      <c r="U135" s="4"/>
      <c r="V135" s="4" t="s">
        <v>13</v>
      </c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12" t="s">
        <v>360</v>
      </c>
      <c r="AU135" s="4" t="s">
        <v>368</v>
      </c>
      <c r="AV135" s="4" t="s">
        <v>684</v>
      </c>
      <c r="AW135" s="4" t="s">
        <v>687</v>
      </c>
      <c r="AX135" s="4" t="s">
        <v>690</v>
      </c>
      <c r="AY135" s="4" t="s">
        <v>371</v>
      </c>
      <c r="AZ135" s="13" t="s">
        <v>14</v>
      </c>
      <c r="BA135" s="4" t="s">
        <v>268</v>
      </c>
      <c r="BB135" s="4" t="s">
        <v>268</v>
      </c>
      <c r="BC135" s="13" t="s">
        <v>433</v>
      </c>
      <c r="BD135" s="4">
        <v>3</v>
      </c>
      <c r="BE135" s="4" t="s">
        <v>457</v>
      </c>
      <c r="BF135" s="13" t="s">
        <v>456</v>
      </c>
      <c r="BG135" s="3"/>
    </row>
    <row r="136" spans="1:59" ht="28.5" hidden="1">
      <c r="A136" s="4">
        <v>133</v>
      </c>
      <c r="C136" s="4" t="s">
        <v>5</v>
      </c>
      <c r="D136" s="4">
        <v>2005</v>
      </c>
      <c r="E136" s="1" t="s">
        <v>217</v>
      </c>
      <c r="F136" s="13" t="s">
        <v>218</v>
      </c>
      <c r="G136" s="4"/>
      <c r="L136" s="6" t="s">
        <v>253</v>
      </c>
      <c r="M136" s="4" t="s">
        <v>298</v>
      </c>
      <c r="N136" s="13" t="s">
        <v>268</v>
      </c>
      <c r="O136" s="4"/>
      <c r="P136" s="4"/>
      <c r="Q136" s="4"/>
      <c r="R136" s="4"/>
      <c r="S136" s="4" t="s">
        <v>13</v>
      </c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12" t="s">
        <v>355</v>
      </c>
      <c r="AU136" s="4" t="s">
        <v>368</v>
      </c>
      <c r="AV136" s="4" t="s">
        <v>684</v>
      </c>
      <c r="AW136" s="4" t="s">
        <v>687</v>
      </c>
      <c r="AX136" s="4" t="s">
        <v>690</v>
      </c>
      <c r="AY136" s="4" t="s">
        <v>371</v>
      </c>
      <c r="AZ136" s="13" t="s">
        <v>14</v>
      </c>
      <c r="BA136" s="4" t="s">
        <v>268</v>
      </c>
      <c r="BB136" s="4" t="s">
        <v>375</v>
      </c>
      <c r="BC136" s="13" t="s">
        <v>268</v>
      </c>
      <c r="BD136" s="4">
        <v>3</v>
      </c>
      <c r="BE136" s="4" t="s">
        <v>457</v>
      </c>
      <c r="BF136" s="13" t="s">
        <v>456</v>
      </c>
      <c r="BG136" s="3"/>
    </row>
    <row r="137" spans="1:59" ht="28.5" hidden="1">
      <c r="A137" s="4">
        <v>134</v>
      </c>
      <c r="B137" s="4" t="s">
        <v>10</v>
      </c>
      <c r="C137" s="4" t="s">
        <v>6</v>
      </c>
      <c r="D137" s="4">
        <v>2011</v>
      </c>
      <c r="E137" s="1" t="s">
        <v>219</v>
      </c>
      <c r="F137" s="13" t="s">
        <v>220</v>
      </c>
      <c r="G137" s="4"/>
      <c r="L137" s="6" t="s">
        <v>253</v>
      </c>
      <c r="M137" s="4" t="s">
        <v>266</v>
      </c>
      <c r="N137" s="13" t="s">
        <v>268</v>
      </c>
      <c r="O137" s="4"/>
      <c r="P137" s="4" t="s">
        <v>13</v>
      </c>
      <c r="Q137" s="4"/>
      <c r="R137" s="4"/>
      <c r="S137" s="4"/>
      <c r="T137" s="4"/>
      <c r="U137" s="4"/>
      <c r="V137" s="4" t="s">
        <v>13</v>
      </c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12" t="s">
        <v>350</v>
      </c>
      <c r="AU137" s="4" t="s">
        <v>368</v>
      </c>
      <c r="AV137" s="4" t="s">
        <v>684</v>
      </c>
      <c r="AW137" s="4" t="s">
        <v>687</v>
      </c>
      <c r="AX137" s="4" t="s">
        <v>690</v>
      </c>
      <c r="AY137" s="4" t="s">
        <v>371</v>
      </c>
      <c r="AZ137" s="13" t="s">
        <v>14</v>
      </c>
      <c r="BA137" s="4" t="s">
        <v>268</v>
      </c>
      <c r="BB137" s="4" t="s">
        <v>438</v>
      </c>
      <c r="BC137" s="13" t="s">
        <v>433</v>
      </c>
      <c r="BD137" s="4">
        <v>4</v>
      </c>
      <c r="BE137" s="4" t="s">
        <v>457</v>
      </c>
      <c r="BF137" s="13" t="s">
        <v>456</v>
      </c>
      <c r="BG137" s="3"/>
    </row>
    <row r="138" spans="1:59" ht="28.5" hidden="1">
      <c r="A138" s="4">
        <v>135</v>
      </c>
      <c r="B138" s="4" t="s">
        <v>4</v>
      </c>
      <c r="C138" s="4" t="s">
        <v>7</v>
      </c>
      <c r="D138" s="4">
        <v>2012</v>
      </c>
      <c r="E138" s="1" t="s">
        <v>221</v>
      </c>
      <c r="F138" s="13" t="s">
        <v>197</v>
      </c>
      <c r="G138" s="4"/>
      <c r="L138" s="6" t="s">
        <v>254</v>
      </c>
      <c r="M138" s="4" t="s">
        <v>299</v>
      </c>
      <c r="N138" s="13" t="s">
        <v>268</v>
      </c>
      <c r="O138" s="4" t="s">
        <v>13</v>
      </c>
      <c r="P138" s="4"/>
      <c r="Q138" s="4"/>
      <c r="R138" s="4"/>
      <c r="S138" s="4"/>
      <c r="T138" s="4"/>
      <c r="U138" s="4"/>
      <c r="V138" s="4" t="s">
        <v>13</v>
      </c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12" t="s">
        <v>360</v>
      </c>
      <c r="AU138" s="4" t="s">
        <v>368</v>
      </c>
      <c r="AV138" s="4" t="s">
        <v>684</v>
      </c>
      <c r="AW138" s="4" t="s">
        <v>687</v>
      </c>
      <c r="AX138" s="4" t="s">
        <v>690</v>
      </c>
      <c r="AY138" s="4" t="s">
        <v>371</v>
      </c>
      <c r="AZ138" s="13" t="s">
        <v>14</v>
      </c>
      <c r="BA138" s="4" t="s">
        <v>268</v>
      </c>
      <c r="BB138" s="4" t="s">
        <v>432</v>
      </c>
      <c r="BC138" s="13" t="s">
        <v>434</v>
      </c>
      <c r="BD138" s="4">
        <v>3</v>
      </c>
      <c r="BE138" s="4" t="s">
        <v>455</v>
      </c>
      <c r="BF138" s="13" t="s">
        <v>456</v>
      </c>
      <c r="BG138" s="3"/>
    </row>
    <row r="139" spans="1:59" ht="28.5" hidden="1">
      <c r="A139" s="4">
        <v>136</v>
      </c>
      <c r="B139" s="4" t="s">
        <v>10</v>
      </c>
      <c r="C139" s="4" t="s">
        <v>6</v>
      </c>
      <c r="D139" s="4">
        <v>2011</v>
      </c>
      <c r="E139" s="1" t="s">
        <v>222</v>
      </c>
      <c r="F139" s="13" t="s">
        <v>224</v>
      </c>
      <c r="G139" s="4"/>
      <c r="L139" s="6" t="s">
        <v>254</v>
      </c>
      <c r="M139" s="4" t="s">
        <v>300</v>
      </c>
      <c r="N139" s="13" t="s">
        <v>268</v>
      </c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 t="s">
        <v>13</v>
      </c>
      <c r="AA139" s="4"/>
      <c r="AB139" s="4" t="s">
        <v>13</v>
      </c>
      <c r="AC139" s="4"/>
      <c r="AD139" s="4" t="s">
        <v>13</v>
      </c>
      <c r="AE139" s="4"/>
      <c r="AF139" s="4"/>
      <c r="AG139" s="4"/>
      <c r="AH139" s="4"/>
      <c r="AI139" s="4"/>
      <c r="AJ139" s="4"/>
      <c r="AK139" s="4"/>
      <c r="AL139" s="4"/>
      <c r="AM139" s="4"/>
      <c r="AN139" s="4" t="s">
        <v>13</v>
      </c>
      <c r="AO139" s="4"/>
      <c r="AP139" s="4"/>
      <c r="AQ139" s="4"/>
      <c r="AR139" s="4"/>
      <c r="AS139" s="4"/>
      <c r="AT139" s="12" t="s">
        <v>355</v>
      </c>
      <c r="AU139" s="4" t="s">
        <v>368</v>
      </c>
      <c r="AV139" s="4" t="s">
        <v>684</v>
      </c>
      <c r="AW139" s="4" t="s">
        <v>687</v>
      </c>
      <c r="AX139" s="4" t="s">
        <v>690</v>
      </c>
      <c r="AY139" s="4" t="s">
        <v>371</v>
      </c>
      <c r="AZ139" s="13" t="s">
        <v>14</v>
      </c>
      <c r="BA139" s="4" t="s">
        <v>268</v>
      </c>
      <c r="BB139" s="4" t="s">
        <v>375</v>
      </c>
      <c r="BC139" s="13" t="s">
        <v>268</v>
      </c>
      <c r="BD139" s="4">
        <v>3</v>
      </c>
      <c r="BE139" s="4" t="s">
        <v>457</v>
      </c>
      <c r="BF139" s="13" t="s">
        <v>456</v>
      </c>
      <c r="BG139" s="3"/>
    </row>
    <row r="140" spans="1:59" ht="28.5" hidden="1">
      <c r="A140" s="4">
        <v>137</v>
      </c>
      <c r="B140" s="4" t="s">
        <v>10</v>
      </c>
      <c r="C140" s="4" t="s">
        <v>6</v>
      </c>
      <c r="D140" s="4">
        <v>2011</v>
      </c>
      <c r="E140" s="1" t="s">
        <v>223</v>
      </c>
      <c r="F140" s="13" t="s">
        <v>224</v>
      </c>
      <c r="G140" s="4"/>
      <c r="L140" s="6" t="s">
        <v>253</v>
      </c>
      <c r="M140" s="4" t="s">
        <v>266</v>
      </c>
      <c r="N140" s="13" t="s">
        <v>268</v>
      </c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 t="s">
        <v>13</v>
      </c>
      <c r="Z140" s="4"/>
      <c r="AA140" s="4"/>
      <c r="AB140" s="4"/>
      <c r="AC140" s="4"/>
      <c r="AD140" s="4" t="s">
        <v>13</v>
      </c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12" t="s">
        <v>359</v>
      </c>
      <c r="AU140" s="4" t="s">
        <v>368</v>
      </c>
      <c r="AV140" s="4" t="s">
        <v>684</v>
      </c>
      <c r="AW140" s="4" t="s">
        <v>687</v>
      </c>
      <c r="AX140" s="4" t="s">
        <v>690</v>
      </c>
      <c r="AY140" s="4" t="s">
        <v>371</v>
      </c>
      <c r="AZ140" s="13" t="s">
        <v>14</v>
      </c>
      <c r="BA140" s="4" t="s">
        <v>268</v>
      </c>
      <c r="BB140" s="4" t="s">
        <v>375</v>
      </c>
      <c r="BC140" s="13" t="s">
        <v>268</v>
      </c>
      <c r="BD140" s="4">
        <v>3</v>
      </c>
      <c r="BE140" s="4" t="s">
        <v>457</v>
      </c>
      <c r="BF140" s="13" t="s">
        <v>456</v>
      </c>
      <c r="BG140" s="3"/>
    </row>
    <row r="141" spans="1:59" ht="28.5" hidden="1">
      <c r="A141" s="4">
        <v>138</v>
      </c>
      <c r="B141" s="4" t="s">
        <v>10</v>
      </c>
      <c r="C141" s="4" t="s">
        <v>6</v>
      </c>
      <c r="D141" s="4">
        <v>2012</v>
      </c>
      <c r="E141" s="1" t="s">
        <v>225</v>
      </c>
      <c r="F141" s="13" t="s">
        <v>224</v>
      </c>
      <c r="G141" s="4"/>
      <c r="L141" s="6" t="s">
        <v>253</v>
      </c>
      <c r="M141" s="4" t="s">
        <v>266</v>
      </c>
      <c r="N141" s="13" t="s">
        <v>268</v>
      </c>
      <c r="O141" s="4" t="s">
        <v>13</v>
      </c>
      <c r="P141" s="4"/>
      <c r="Q141" s="4"/>
      <c r="R141" s="4"/>
      <c r="S141" s="4"/>
      <c r="T141" s="4"/>
      <c r="U141" s="4"/>
      <c r="V141" s="4" t="s">
        <v>13</v>
      </c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12" t="s">
        <v>360</v>
      </c>
      <c r="AU141" s="4" t="s">
        <v>369</v>
      </c>
      <c r="AV141" s="4" t="s">
        <v>684</v>
      </c>
      <c r="AW141" s="4" t="s">
        <v>687</v>
      </c>
      <c r="AX141" s="4" t="s">
        <v>690</v>
      </c>
      <c r="AY141" s="4" t="s">
        <v>371</v>
      </c>
      <c r="AZ141" s="13" t="s">
        <v>14</v>
      </c>
      <c r="BA141" s="4" t="s">
        <v>268</v>
      </c>
      <c r="BB141" s="4" t="s">
        <v>405</v>
      </c>
      <c r="BC141" s="13" t="s">
        <v>433</v>
      </c>
      <c r="BD141" s="4">
        <v>4</v>
      </c>
      <c r="BE141" s="4" t="s">
        <v>457</v>
      </c>
      <c r="BF141" s="13" t="s">
        <v>456</v>
      </c>
      <c r="BG141" s="3"/>
    </row>
    <row r="142" spans="1:59" ht="28.5">
      <c r="A142" s="4">
        <v>139</v>
      </c>
      <c r="B142" s="4" t="s">
        <v>4</v>
      </c>
      <c r="C142" s="4" t="s">
        <v>7</v>
      </c>
      <c r="D142" s="4">
        <v>2009</v>
      </c>
      <c r="E142" s="1" t="s">
        <v>226</v>
      </c>
      <c r="F142" s="13" t="s">
        <v>227</v>
      </c>
      <c r="G142" s="4"/>
      <c r="L142" s="6" t="s">
        <v>253</v>
      </c>
      <c r="M142" s="4" t="s">
        <v>301</v>
      </c>
      <c r="N142" s="13" t="s">
        <v>571</v>
      </c>
      <c r="O142" s="4" t="s">
        <v>13</v>
      </c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 t="s">
        <v>13</v>
      </c>
      <c r="AO142" s="4"/>
      <c r="AP142" s="4"/>
      <c r="AQ142" s="4"/>
      <c r="AR142" s="4"/>
      <c r="AS142" s="4"/>
      <c r="AT142" s="12" t="s">
        <v>359</v>
      </c>
      <c r="AU142" s="4" t="s">
        <v>369</v>
      </c>
      <c r="AV142" s="4" t="s">
        <v>685</v>
      </c>
      <c r="AW142" s="4" t="s">
        <v>687</v>
      </c>
      <c r="AX142" s="4" t="s">
        <v>690</v>
      </c>
      <c r="AY142" s="4" t="s">
        <v>371</v>
      </c>
      <c r="AZ142" s="13" t="s">
        <v>14</v>
      </c>
      <c r="BA142" s="4" t="s">
        <v>396</v>
      </c>
      <c r="BB142" s="4" t="s">
        <v>439</v>
      </c>
      <c r="BC142" s="13" t="s">
        <v>440</v>
      </c>
      <c r="BD142" s="4">
        <v>3</v>
      </c>
      <c r="BE142" s="4" t="s">
        <v>455</v>
      </c>
      <c r="BF142" s="13" t="s">
        <v>456</v>
      </c>
      <c r="BG142" s="3"/>
    </row>
    <row r="143" spans="1:59" ht="42.75" hidden="1">
      <c r="A143" s="4">
        <v>140</v>
      </c>
      <c r="B143" s="4" t="s">
        <v>10</v>
      </c>
      <c r="C143" s="4" t="s">
        <v>6</v>
      </c>
      <c r="D143" s="4">
        <v>2010</v>
      </c>
      <c r="E143" s="1" t="s">
        <v>228</v>
      </c>
      <c r="F143" s="13" t="s">
        <v>224</v>
      </c>
      <c r="G143" s="4"/>
      <c r="L143" s="6" t="s">
        <v>582</v>
      </c>
      <c r="M143" s="4" t="s">
        <v>295</v>
      </c>
      <c r="N143" s="13" t="s">
        <v>302</v>
      </c>
      <c r="O143" s="4" t="s">
        <v>13</v>
      </c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 t="s">
        <v>13</v>
      </c>
      <c r="AO143" s="4"/>
      <c r="AP143" s="4"/>
      <c r="AQ143" s="4"/>
      <c r="AR143" s="4"/>
      <c r="AS143" s="4"/>
      <c r="AT143" s="12" t="s">
        <v>359</v>
      </c>
      <c r="AU143" s="4" t="s">
        <v>369</v>
      </c>
      <c r="AV143" s="4" t="s">
        <v>684</v>
      </c>
      <c r="AW143" s="4" t="s">
        <v>687</v>
      </c>
      <c r="AX143" s="4" t="s">
        <v>690</v>
      </c>
      <c r="AY143" s="4" t="s">
        <v>371</v>
      </c>
      <c r="AZ143" s="13" t="s">
        <v>14</v>
      </c>
      <c r="BA143" s="4" t="s">
        <v>396</v>
      </c>
      <c r="BB143" s="4" t="s">
        <v>405</v>
      </c>
      <c r="BC143" s="13" t="s">
        <v>441</v>
      </c>
      <c r="BD143" s="4">
        <v>4</v>
      </c>
      <c r="BE143" s="4" t="s">
        <v>457</v>
      </c>
      <c r="BF143" s="13" t="s">
        <v>456</v>
      </c>
      <c r="BG143" s="3"/>
    </row>
    <row r="144" spans="1:59" ht="28.5" hidden="1">
      <c r="A144" s="4">
        <v>141</v>
      </c>
      <c r="B144" s="4" t="s">
        <v>10</v>
      </c>
      <c r="C144" s="4" t="s">
        <v>6</v>
      </c>
      <c r="D144" s="4">
        <v>2010</v>
      </c>
      <c r="E144" s="1" t="s">
        <v>229</v>
      </c>
      <c r="F144" s="13" t="s">
        <v>224</v>
      </c>
      <c r="G144" s="4"/>
      <c r="L144" s="6" t="s">
        <v>254</v>
      </c>
      <c r="M144" s="4" t="s">
        <v>266</v>
      </c>
      <c r="N144" s="13" t="s">
        <v>268</v>
      </c>
      <c r="O144" s="4"/>
      <c r="P144" s="4"/>
      <c r="Q144" s="4"/>
      <c r="R144" s="4"/>
      <c r="S144" s="4"/>
      <c r="T144" s="4"/>
      <c r="U144" s="4"/>
      <c r="V144" s="4" t="s">
        <v>13</v>
      </c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 t="s">
        <v>13</v>
      </c>
      <c r="AO144" s="4"/>
      <c r="AP144" s="4"/>
      <c r="AQ144" s="4"/>
      <c r="AR144" s="4"/>
      <c r="AS144" s="4"/>
      <c r="AT144" s="12" t="s">
        <v>351</v>
      </c>
      <c r="AU144" s="4" t="s">
        <v>368</v>
      </c>
      <c r="AV144" s="4" t="s">
        <v>684</v>
      </c>
      <c r="AW144" s="4" t="s">
        <v>687</v>
      </c>
      <c r="AX144" s="4" t="s">
        <v>690</v>
      </c>
      <c r="AY144" s="4" t="s">
        <v>371</v>
      </c>
      <c r="AZ144" s="13" t="s">
        <v>374</v>
      </c>
      <c r="BA144" s="4" t="s">
        <v>268</v>
      </c>
      <c r="BB144" s="4" t="s">
        <v>449</v>
      </c>
      <c r="BC144" s="13" t="s">
        <v>400</v>
      </c>
      <c r="BD144" s="4">
        <v>6</v>
      </c>
      <c r="BE144" s="4" t="s">
        <v>454</v>
      </c>
      <c r="BF144" s="13" t="s">
        <v>456</v>
      </c>
      <c r="BG144" s="3"/>
    </row>
    <row r="145" spans="1:59" ht="28.5">
      <c r="A145" s="4">
        <v>142</v>
      </c>
      <c r="B145" s="4" t="s">
        <v>10</v>
      </c>
      <c r="C145" s="4" t="s">
        <v>6</v>
      </c>
      <c r="D145" s="4">
        <v>2010</v>
      </c>
      <c r="E145" s="1" t="s">
        <v>230</v>
      </c>
      <c r="F145" s="13" t="s">
        <v>224</v>
      </c>
      <c r="G145" s="4"/>
      <c r="L145" s="6" t="s">
        <v>253</v>
      </c>
      <c r="M145" s="4" t="s">
        <v>303</v>
      </c>
      <c r="N145" s="13" t="s">
        <v>268</v>
      </c>
      <c r="O145" s="4" t="s">
        <v>13</v>
      </c>
      <c r="P145" s="4"/>
      <c r="Q145" s="4"/>
      <c r="R145" s="4"/>
      <c r="S145" s="4" t="s">
        <v>13</v>
      </c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12" t="s">
        <v>359</v>
      </c>
      <c r="AU145" s="4" t="s">
        <v>368</v>
      </c>
      <c r="AV145" s="4" t="s">
        <v>685</v>
      </c>
      <c r="AW145" s="4" t="s">
        <v>687</v>
      </c>
      <c r="AX145" s="4" t="s">
        <v>690</v>
      </c>
      <c r="AY145" s="4" t="s">
        <v>371</v>
      </c>
      <c r="AZ145" s="13" t="s">
        <v>14</v>
      </c>
      <c r="BA145" s="4" t="s">
        <v>268</v>
      </c>
      <c r="BB145" s="4" t="s">
        <v>442</v>
      </c>
      <c r="BC145" s="13" t="s">
        <v>268</v>
      </c>
      <c r="BD145" s="4">
        <v>3</v>
      </c>
      <c r="BE145" s="4" t="s">
        <v>457</v>
      </c>
      <c r="BF145" s="13" t="s">
        <v>456</v>
      </c>
      <c r="BG145" s="3"/>
    </row>
    <row r="146" spans="1:59" ht="28.5" hidden="1">
      <c r="A146" s="4">
        <v>143</v>
      </c>
      <c r="B146" s="4" t="s">
        <v>9</v>
      </c>
      <c r="C146" s="4" t="s">
        <v>5</v>
      </c>
      <c r="D146" s="4">
        <v>2014</v>
      </c>
      <c r="E146" s="1" t="s">
        <v>231</v>
      </c>
      <c r="F146" s="13" t="s">
        <v>12</v>
      </c>
      <c r="G146" s="4"/>
      <c r="L146" s="6" t="s">
        <v>254</v>
      </c>
      <c r="M146" s="4" t="s">
        <v>304</v>
      </c>
      <c r="N146" s="13" t="s">
        <v>268</v>
      </c>
      <c r="O146" s="4"/>
      <c r="P146" s="4"/>
      <c r="Q146" s="4" t="s">
        <v>13</v>
      </c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 t="s">
        <v>13</v>
      </c>
      <c r="AK146" s="4"/>
      <c r="AL146" s="4"/>
      <c r="AM146" s="4"/>
      <c r="AN146" s="4"/>
      <c r="AO146" s="4"/>
      <c r="AP146" s="4"/>
      <c r="AQ146" s="4"/>
      <c r="AR146" s="4"/>
      <c r="AS146" s="4"/>
      <c r="AT146" s="12" t="s">
        <v>352</v>
      </c>
      <c r="AU146" s="4" t="s">
        <v>369</v>
      </c>
      <c r="AV146" s="4" t="s">
        <v>684</v>
      </c>
      <c r="AW146" s="4" t="s">
        <v>687</v>
      </c>
      <c r="AX146" s="4" t="s">
        <v>690</v>
      </c>
      <c r="AY146" s="4" t="s">
        <v>371</v>
      </c>
      <c r="AZ146" s="13" t="s">
        <v>14</v>
      </c>
      <c r="BA146" s="4" t="s">
        <v>268</v>
      </c>
      <c r="BB146" s="4" t="s">
        <v>405</v>
      </c>
      <c r="BC146" s="13" t="s">
        <v>433</v>
      </c>
      <c r="BD146" s="4">
        <v>5</v>
      </c>
      <c r="BE146" s="4" t="s">
        <v>457</v>
      </c>
      <c r="BF146" s="13" t="s">
        <v>456</v>
      </c>
      <c r="BG146" s="3"/>
    </row>
    <row r="147" spans="1:59" ht="28.5" hidden="1">
      <c r="A147" s="4">
        <v>144</v>
      </c>
      <c r="B147" s="4" t="s">
        <v>9</v>
      </c>
      <c r="C147" s="4" t="s">
        <v>5</v>
      </c>
      <c r="D147" s="4">
        <v>2014</v>
      </c>
      <c r="E147" s="1" t="s">
        <v>232</v>
      </c>
      <c r="F147" s="13" t="s">
        <v>12</v>
      </c>
      <c r="G147" s="4"/>
      <c r="L147" s="6" t="s">
        <v>253</v>
      </c>
      <c r="M147" s="4" t="s">
        <v>266</v>
      </c>
      <c r="N147" s="13" t="s">
        <v>268</v>
      </c>
      <c r="O147" s="4"/>
      <c r="P147" s="4"/>
      <c r="Q147" s="4"/>
      <c r="R147" s="4"/>
      <c r="S147" s="4" t="s">
        <v>13</v>
      </c>
      <c r="T147" s="4"/>
      <c r="U147" s="4"/>
      <c r="V147" s="4" t="s">
        <v>13</v>
      </c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12" t="s">
        <v>351</v>
      </c>
      <c r="AU147" s="4" t="s">
        <v>368</v>
      </c>
      <c r="AV147" s="4" t="s">
        <v>684</v>
      </c>
      <c r="AW147" s="4" t="s">
        <v>687</v>
      </c>
      <c r="AX147" s="4" t="s">
        <v>690</v>
      </c>
      <c r="AY147" s="4" t="s">
        <v>371</v>
      </c>
      <c r="AZ147" s="13" t="s">
        <v>14</v>
      </c>
      <c r="BA147" s="4" t="s">
        <v>268</v>
      </c>
      <c r="BB147" s="4" t="s">
        <v>375</v>
      </c>
      <c r="BC147" s="13" t="s">
        <v>268</v>
      </c>
      <c r="BD147" s="4">
        <v>4</v>
      </c>
      <c r="BE147" s="4" t="s">
        <v>457</v>
      </c>
      <c r="BF147" s="13" t="s">
        <v>456</v>
      </c>
      <c r="BG147" s="3"/>
    </row>
    <row r="148" spans="1:59" ht="42.75" hidden="1">
      <c r="A148" s="4">
        <v>145</v>
      </c>
      <c r="B148" s="4" t="s">
        <v>9</v>
      </c>
      <c r="C148" s="4" t="s">
        <v>5</v>
      </c>
      <c r="D148" s="4">
        <v>2014</v>
      </c>
      <c r="E148" s="1" t="s">
        <v>233</v>
      </c>
      <c r="F148" s="13" t="s">
        <v>12</v>
      </c>
      <c r="G148" s="4"/>
      <c r="L148" s="6" t="s">
        <v>253</v>
      </c>
      <c r="M148" s="4" t="s">
        <v>305</v>
      </c>
      <c r="N148" s="13" t="s">
        <v>268</v>
      </c>
      <c r="O148" s="4" t="s">
        <v>13</v>
      </c>
      <c r="P148" s="4"/>
      <c r="Q148" s="4"/>
      <c r="R148" s="4"/>
      <c r="S148" s="4" t="s">
        <v>13</v>
      </c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 t="s">
        <v>13</v>
      </c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12" t="s">
        <v>356</v>
      </c>
      <c r="AU148" s="4" t="s">
        <v>368</v>
      </c>
      <c r="AV148" s="4" t="s">
        <v>684</v>
      </c>
      <c r="AW148" s="4" t="s">
        <v>687</v>
      </c>
      <c r="AX148" s="4" t="s">
        <v>690</v>
      </c>
      <c r="AY148" s="4" t="s">
        <v>371</v>
      </c>
      <c r="AZ148" s="13" t="s">
        <v>14</v>
      </c>
      <c r="BA148" s="4" t="s">
        <v>443</v>
      </c>
      <c r="BB148" s="4" t="s">
        <v>444</v>
      </c>
      <c r="BC148" s="13" t="s">
        <v>445</v>
      </c>
      <c r="BD148" s="4">
        <v>5</v>
      </c>
      <c r="BE148" s="4" t="s">
        <v>457</v>
      </c>
      <c r="BF148" s="13" t="s">
        <v>456</v>
      </c>
      <c r="BG148" s="3"/>
    </row>
    <row r="149" spans="1:59" ht="28.5">
      <c r="A149" s="4">
        <v>146</v>
      </c>
      <c r="B149" s="4" t="s">
        <v>9</v>
      </c>
      <c r="C149" s="4" t="s">
        <v>5</v>
      </c>
      <c r="D149" s="4">
        <v>2011</v>
      </c>
      <c r="E149" s="1" t="s">
        <v>234</v>
      </c>
      <c r="F149" s="13" t="s">
        <v>12</v>
      </c>
      <c r="G149" s="4"/>
      <c r="L149" s="6" t="s">
        <v>253</v>
      </c>
      <c r="M149" s="4" t="s">
        <v>306</v>
      </c>
      <c r="N149" s="13" t="s">
        <v>268</v>
      </c>
      <c r="O149" s="4"/>
      <c r="P149" s="4"/>
      <c r="Q149" s="4"/>
      <c r="R149" s="4"/>
      <c r="S149" s="4" t="s">
        <v>13</v>
      </c>
      <c r="T149" s="4"/>
      <c r="U149" s="4"/>
      <c r="V149" s="4" t="s">
        <v>13</v>
      </c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12" t="s">
        <v>360</v>
      </c>
      <c r="AU149" s="4" t="s">
        <v>368</v>
      </c>
      <c r="AV149" s="4" t="s">
        <v>685</v>
      </c>
      <c r="AW149" s="4" t="s">
        <v>687</v>
      </c>
      <c r="AX149" s="4" t="s">
        <v>690</v>
      </c>
      <c r="AY149" s="4" t="s">
        <v>371</v>
      </c>
      <c r="AZ149" s="13" t="s">
        <v>14</v>
      </c>
      <c r="BA149" s="4" t="s">
        <v>443</v>
      </c>
      <c r="BB149" s="4" t="s">
        <v>446</v>
      </c>
      <c r="BC149" s="13" t="s">
        <v>445</v>
      </c>
      <c r="BD149" s="4">
        <v>6</v>
      </c>
      <c r="BE149" s="4" t="s">
        <v>454</v>
      </c>
      <c r="BF149" s="13" t="s">
        <v>457</v>
      </c>
      <c r="BG149" s="3"/>
    </row>
    <row r="150" spans="1:59" ht="28.5" hidden="1">
      <c r="A150" s="4">
        <v>147</v>
      </c>
      <c r="B150" s="4" t="s">
        <v>9</v>
      </c>
      <c r="C150" s="4" t="s">
        <v>5</v>
      </c>
      <c r="D150" s="4">
        <v>2010</v>
      </c>
      <c r="E150" s="1" t="s">
        <v>235</v>
      </c>
      <c r="F150" s="13" t="s">
        <v>12</v>
      </c>
      <c r="G150" s="4"/>
      <c r="L150" s="6" t="s">
        <v>253</v>
      </c>
      <c r="M150" s="4" t="s">
        <v>266</v>
      </c>
      <c r="N150" s="13" t="s">
        <v>268</v>
      </c>
      <c r="O150" s="4"/>
      <c r="P150" s="4"/>
      <c r="Q150" s="4"/>
      <c r="R150" s="4"/>
      <c r="S150" s="4" t="s">
        <v>13</v>
      </c>
      <c r="T150" s="4"/>
      <c r="U150" s="4"/>
      <c r="V150" s="4" t="s">
        <v>13</v>
      </c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12" t="s">
        <v>355</v>
      </c>
      <c r="AU150" s="4" t="s">
        <v>368</v>
      </c>
      <c r="AV150" s="4" t="s">
        <v>684</v>
      </c>
      <c r="AW150" s="4" t="s">
        <v>687</v>
      </c>
      <c r="AX150" s="4" t="s">
        <v>690</v>
      </c>
      <c r="AY150" s="4" t="s">
        <v>373</v>
      </c>
      <c r="AZ150" s="13" t="s">
        <v>14</v>
      </c>
      <c r="BA150" s="4" t="s">
        <v>427</v>
      </c>
      <c r="BB150" s="4" t="s">
        <v>405</v>
      </c>
      <c r="BC150" s="13" t="s">
        <v>433</v>
      </c>
      <c r="BD150" s="4">
        <v>6</v>
      </c>
      <c r="BE150" s="4" t="s">
        <v>454</v>
      </c>
      <c r="BF150" s="13" t="s">
        <v>456</v>
      </c>
      <c r="BG150" s="3"/>
    </row>
    <row r="151" spans="1:59" ht="28.5" hidden="1">
      <c r="A151" s="4">
        <v>148</v>
      </c>
      <c r="B151" s="4" t="s">
        <v>10</v>
      </c>
      <c r="C151" s="4" t="s">
        <v>6</v>
      </c>
      <c r="D151" s="4">
        <v>2014</v>
      </c>
      <c r="E151" s="1" t="s">
        <v>236</v>
      </c>
      <c r="F151" s="13" t="s">
        <v>237</v>
      </c>
      <c r="G151" s="4"/>
      <c r="L151" s="6" t="s">
        <v>253</v>
      </c>
      <c r="M151" s="4" t="s">
        <v>266</v>
      </c>
      <c r="N151" s="13" t="s">
        <v>268</v>
      </c>
      <c r="O151" s="4"/>
      <c r="P151" s="4"/>
      <c r="Q151" s="4"/>
      <c r="R151" s="4"/>
      <c r="S151" s="4" t="s">
        <v>13</v>
      </c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12" t="s">
        <v>355</v>
      </c>
      <c r="AU151" s="4" t="s">
        <v>368</v>
      </c>
      <c r="AV151" s="4" t="s">
        <v>684</v>
      </c>
      <c r="AW151" s="4" t="s">
        <v>687</v>
      </c>
      <c r="AX151" s="4" t="s">
        <v>690</v>
      </c>
      <c r="AY151" s="4" t="s">
        <v>371</v>
      </c>
      <c r="AZ151" s="13" t="s">
        <v>14</v>
      </c>
      <c r="BA151" s="4" t="s">
        <v>268</v>
      </c>
      <c r="BB151" s="4" t="s">
        <v>405</v>
      </c>
      <c r="BC151" s="13" t="s">
        <v>433</v>
      </c>
      <c r="BD151" s="4">
        <v>3</v>
      </c>
      <c r="BE151" s="4" t="s">
        <v>457</v>
      </c>
      <c r="BF151" s="13" t="s">
        <v>456</v>
      </c>
      <c r="BG151" s="3"/>
    </row>
    <row r="152" spans="1:59" ht="28.5" hidden="1">
      <c r="A152" s="4">
        <v>149</v>
      </c>
      <c r="B152" s="4" t="s">
        <v>10</v>
      </c>
      <c r="C152" s="4" t="s">
        <v>6</v>
      </c>
      <c r="D152" s="4">
        <v>2014</v>
      </c>
      <c r="E152" s="1" t="s">
        <v>238</v>
      </c>
      <c r="F152" s="13" t="s">
        <v>237</v>
      </c>
      <c r="G152" s="4"/>
      <c r="L152" s="6" t="s">
        <v>254</v>
      </c>
      <c r="M152" s="4" t="s">
        <v>307</v>
      </c>
      <c r="N152" s="13" t="s">
        <v>308</v>
      </c>
      <c r="O152" s="4" t="s">
        <v>13</v>
      </c>
      <c r="P152" s="4"/>
      <c r="Q152" s="4"/>
      <c r="R152" s="4"/>
      <c r="S152" s="4" t="s">
        <v>13</v>
      </c>
      <c r="T152" s="4" t="s">
        <v>13</v>
      </c>
      <c r="U152" s="4"/>
      <c r="V152" s="4"/>
      <c r="W152" s="4"/>
      <c r="X152" s="4"/>
      <c r="Y152" s="4"/>
      <c r="Z152" s="4"/>
      <c r="AA152" s="4"/>
      <c r="AB152" s="4"/>
      <c r="AC152" s="4"/>
      <c r="AD152" s="4" t="s">
        <v>13</v>
      </c>
      <c r="AE152" s="4"/>
      <c r="AF152" s="4"/>
      <c r="AG152" s="4"/>
      <c r="AH152" s="4"/>
      <c r="AI152" s="4" t="s">
        <v>13</v>
      </c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12" t="s">
        <v>362</v>
      </c>
      <c r="AU152" s="4" t="s">
        <v>370</v>
      </c>
      <c r="AV152" s="4" t="s">
        <v>684</v>
      </c>
      <c r="AW152" s="4" t="s">
        <v>687</v>
      </c>
      <c r="AX152" s="4" t="s">
        <v>690</v>
      </c>
      <c r="AY152" s="4" t="s">
        <v>371</v>
      </c>
      <c r="AZ152" s="13" t="s">
        <v>14</v>
      </c>
      <c r="BA152" s="4" t="s">
        <v>447</v>
      </c>
      <c r="BB152" s="4" t="s">
        <v>405</v>
      </c>
      <c r="BC152" s="13" t="s">
        <v>448</v>
      </c>
      <c r="BD152" s="4">
        <v>5</v>
      </c>
      <c r="BE152" s="4" t="s">
        <v>457</v>
      </c>
      <c r="BF152" s="13" t="s">
        <v>457</v>
      </c>
      <c r="BG152" s="3"/>
    </row>
    <row r="153" spans="1:59" ht="28.5" hidden="1">
      <c r="A153" s="4">
        <v>150</v>
      </c>
      <c r="B153" s="4" t="s">
        <v>10</v>
      </c>
      <c r="C153" s="4" t="s">
        <v>6</v>
      </c>
      <c r="D153" s="4">
        <v>2012</v>
      </c>
      <c r="E153" s="1" t="s">
        <v>239</v>
      </c>
      <c r="F153" s="13" t="s">
        <v>237</v>
      </c>
      <c r="G153" s="4"/>
      <c r="L153" s="6" t="s">
        <v>254</v>
      </c>
      <c r="M153" s="4" t="s">
        <v>309</v>
      </c>
      <c r="N153" s="13" t="s">
        <v>310</v>
      </c>
      <c r="O153" s="4" t="s">
        <v>13</v>
      </c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 t="s">
        <v>13</v>
      </c>
      <c r="AO153" s="4"/>
      <c r="AP153" s="4"/>
      <c r="AQ153" s="4"/>
      <c r="AR153" s="4"/>
      <c r="AS153" s="4"/>
      <c r="AT153" s="12" t="s">
        <v>359</v>
      </c>
      <c r="AU153" s="4" t="s">
        <v>368</v>
      </c>
      <c r="AV153" s="4" t="s">
        <v>684</v>
      </c>
      <c r="AW153" s="4" t="s">
        <v>687</v>
      </c>
      <c r="AX153" s="4" t="s">
        <v>690</v>
      </c>
      <c r="AY153" s="4" t="s">
        <v>371</v>
      </c>
      <c r="AZ153" s="13" t="s">
        <v>374</v>
      </c>
      <c r="BA153" s="4" t="s">
        <v>268</v>
      </c>
      <c r="BB153" s="4" t="s">
        <v>405</v>
      </c>
      <c r="BC153" s="13" t="s">
        <v>433</v>
      </c>
      <c r="BD153" s="4">
        <v>7</v>
      </c>
      <c r="BE153" s="4" t="s">
        <v>454</v>
      </c>
      <c r="BF153" s="13" t="s">
        <v>454</v>
      </c>
      <c r="BG153" s="3"/>
    </row>
    <row r="154" spans="1:59" ht="28.5" hidden="1">
      <c r="A154" s="4">
        <v>151</v>
      </c>
      <c r="B154" s="4" t="s">
        <v>10</v>
      </c>
      <c r="C154" s="4" t="s">
        <v>6</v>
      </c>
      <c r="D154" s="4">
        <v>2012</v>
      </c>
      <c r="E154" s="1" t="s">
        <v>240</v>
      </c>
      <c r="F154" s="13" t="s">
        <v>237</v>
      </c>
      <c r="G154" s="4"/>
      <c r="L154" s="6" t="s">
        <v>253</v>
      </c>
      <c r="M154" s="4" t="s">
        <v>266</v>
      </c>
      <c r="N154" s="13" t="s">
        <v>268</v>
      </c>
      <c r="O154" s="4" t="s">
        <v>13</v>
      </c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12" t="s">
        <v>359</v>
      </c>
      <c r="AU154" s="4" t="s">
        <v>368</v>
      </c>
      <c r="AV154" s="4" t="s">
        <v>684</v>
      </c>
      <c r="AW154" s="4" t="s">
        <v>687</v>
      </c>
      <c r="AX154" s="4" t="s">
        <v>690</v>
      </c>
      <c r="AY154" s="4" t="s">
        <v>371</v>
      </c>
      <c r="AZ154" s="13" t="s">
        <v>14</v>
      </c>
      <c r="BA154" s="4" t="s">
        <v>268</v>
      </c>
      <c r="BB154" s="4" t="s">
        <v>405</v>
      </c>
      <c r="BC154" s="13" t="s">
        <v>268</v>
      </c>
      <c r="BD154" s="4">
        <v>4</v>
      </c>
      <c r="BE154" s="4" t="s">
        <v>457</v>
      </c>
      <c r="BF154" s="13" t="s">
        <v>456</v>
      </c>
      <c r="BG154" s="3"/>
    </row>
    <row r="155" spans="1:59" ht="28.5" hidden="1">
      <c r="A155" s="4">
        <v>152</v>
      </c>
      <c r="B155" s="4" t="s">
        <v>10</v>
      </c>
      <c r="C155" s="4" t="s">
        <v>6</v>
      </c>
      <c r="D155" s="4">
        <v>2012</v>
      </c>
      <c r="E155" s="1" t="s">
        <v>241</v>
      </c>
      <c r="F155" s="13" t="s">
        <v>237</v>
      </c>
      <c r="G155" s="4"/>
      <c r="L155" s="6" t="s">
        <v>253</v>
      </c>
      <c r="M155" s="4" t="s">
        <v>266</v>
      </c>
      <c r="N155" s="13" t="s">
        <v>268</v>
      </c>
      <c r="O155" s="4"/>
      <c r="P155" s="4"/>
      <c r="Q155" s="4"/>
      <c r="R155" s="4" t="s">
        <v>13</v>
      </c>
      <c r="S155" s="4"/>
      <c r="T155" s="4"/>
      <c r="U155" s="4"/>
      <c r="V155" s="4"/>
      <c r="W155" s="4"/>
      <c r="X155" s="4"/>
      <c r="Y155" s="4" t="s">
        <v>13</v>
      </c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12" t="s">
        <v>349</v>
      </c>
      <c r="AU155" s="4" t="s">
        <v>368</v>
      </c>
      <c r="AV155" s="4" t="s">
        <v>684</v>
      </c>
      <c r="AW155" s="4" t="s">
        <v>687</v>
      </c>
      <c r="AX155" s="4" t="s">
        <v>690</v>
      </c>
      <c r="AY155" s="4" t="s">
        <v>371</v>
      </c>
      <c r="AZ155" s="13" t="s">
        <v>14</v>
      </c>
      <c r="BA155" s="4" t="s">
        <v>16</v>
      </c>
      <c r="BB155" s="4" t="s">
        <v>449</v>
      </c>
      <c r="BC155" s="13" t="s">
        <v>268</v>
      </c>
      <c r="BD155" s="4">
        <v>3</v>
      </c>
      <c r="BE155" s="4" t="s">
        <v>457</v>
      </c>
      <c r="BF155" s="13" t="s">
        <v>456</v>
      </c>
      <c r="BG155" s="3"/>
    </row>
    <row r="156" spans="1:59" ht="28.5" hidden="1">
      <c r="A156" s="4">
        <v>153</v>
      </c>
      <c r="B156" s="4" t="s">
        <v>10</v>
      </c>
      <c r="C156" s="4" t="s">
        <v>6</v>
      </c>
      <c r="D156" s="4">
        <v>2008</v>
      </c>
      <c r="E156" s="1" t="s">
        <v>242</v>
      </c>
      <c r="F156" s="13" t="s">
        <v>237</v>
      </c>
      <c r="G156" s="4"/>
      <c r="L156" s="6" t="s">
        <v>253</v>
      </c>
      <c r="M156" s="4" t="s">
        <v>266</v>
      </c>
      <c r="N156" s="13" t="s">
        <v>268</v>
      </c>
      <c r="O156" s="4"/>
      <c r="P156" s="4"/>
      <c r="Q156" s="4" t="s">
        <v>13</v>
      </c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 t="s">
        <v>13</v>
      </c>
      <c r="AK156" s="4"/>
      <c r="AL156" s="4"/>
      <c r="AM156" s="4"/>
      <c r="AN156" s="4"/>
      <c r="AO156" s="4"/>
      <c r="AP156" s="4"/>
      <c r="AQ156" s="4"/>
      <c r="AR156" s="4"/>
      <c r="AS156" s="4"/>
      <c r="AT156" s="12" t="s">
        <v>353</v>
      </c>
      <c r="AU156" s="4" t="s">
        <v>370</v>
      </c>
      <c r="AV156" s="4" t="s">
        <v>684</v>
      </c>
      <c r="AW156" s="4" t="s">
        <v>687</v>
      </c>
      <c r="AX156" s="4" t="s">
        <v>690</v>
      </c>
      <c r="AY156" s="4" t="s">
        <v>371</v>
      </c>
      <c r="AZ156" s="13" t="s">
        <v>374</v>
      </c>
      <c r="BA156" s="4" t="s">
        <v>268</v>
      </c>
      <c r="BB156" s="4" t="s">
        <v>449</v>
      </c>
      <c r="BC156" s="13" t="s">
        <v>268</v>
      </c>
      <c r="BD156" s="4">
        <v>4</v>
      </c>
      <c r="BE156" s="4" t="s">
        <v>454</v>
      </c>
      <c r="BF156" s="13" t="s">
        <v>456</v>
      </c>
      <c r="BG156" s="3"/>
    </row>
    <row r="157" spans="1:59" ht="28.5" hidden="1">
      <c r="A157" s="4">
        <v>154</v>
      </c>
      <c r="B157" s="4" t="s">
        <v>10</v>
      </c>
      <c r="C157" s="4" t="s">
        <v>6</v>
      </c>
      <c r="D157" s="4">
        <v>2010</v>
      </c>
      <c r="E157" s="1" t="s">
        <v>243</v>
      </c>
      <c r="F157" s="13" t="s">
        <v>237</v>
      </c>
      <c r="G157" s="4"/>
      <c r="L157" s="6" t="s">
        <v>253</v>
      </c>
      <c r="M157" s="4" t="s">
        <v>266</v>
      </c>
      <c r="N157" s="13" t="s">
        <v>308</v>
      </c>
      <c r="O157" s="4" t="s">
        <v>13</v>
      </c>
      <c r="P157" s="4"/>
      <c r="Q157" s="4"/>
      <c r="R157" s="4"/>
      <c r="S157" s="4"/>
      <c r="T157" s="4"/>
      <c r="U157" s="4"/>
      <c r="V157" s="4" t="s">
        <v>13</v>
      </c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12" t="s">
        <v>363</v>
      </c>
      <c r="AU157" s="4" t="s">
        <v>369</v>
      </c>
      <c r="AV157" s="4" t="s">
        <v>684</v>
      </c>
      <c r="AW157" s="4" t="s">
        <v>687</v>
      </c>
      <c r="AX157" s="4" t="s">
        <v>690</v>
      </c>
      <c r="AY157" s="4" t="s">
        <v>371</v>
      </c>
      <c r="AZ157" s="13" t="s">
        <v>14</v>
      </c>
      <c r="BA157" s="4" t="s">
        <v>389</v>
      </c>
      <c r="BB157" s="4" t="s">
        <v>405</v>
      </c>
      <c r="BC157" s="13" t="s">
        <v>621</v>
      </c>
      <c r="BD157" s="4">
        <v>3</v>
      </c>
      <c r="BE157" s="4" t="s">
        <v>457</v>
      </c>
      <c r="BF157" s="13" t="s">
        <v>456</v>
      </c>
      <c r="BG157" s="3"/>
    </row>
    <row r="158" spans="1:59" ht="28.5" hidden="1">
      <c r="A158" s="4">
        <v>155</v>
      </c>
      <c r="B158" s="4" t="s">
        <v>10</v>
      </c>
      <c r="C158" s="4" t="s">
        <v>6</v>
      </c>
      <c r="D158" s="4">
        <v>2010</v>
      </c>
      <c r="E158" s="1" t="s">
        <v>244</v>
      </c>
      <c r="F158" s="13" t="s">
        <v>237</v>
      </c>
      <c r="G158" s="4"/>
      <c r="L158" s="6" t="s">
        <v>254</v>
      </c>
      <c r="M158" s="4" t="s">
        <v>266</v>
      </c>
      <c r="N158" s="13" t="s">
        <v>268</v>
      </c>
      <c r="O158" s="4" t="s">
        <v>13</v>
      </c>
      <c r="P158" s="4"/>
      <c r="Q158" s="4"/>
      <c r="R158" s="4"/>
      <c r="S158" s="4"/>
      <c r="T158" s="4"/>
      <c r="U158" s="4"/>
      <c r="V158" s="4" t="s">
        <v>13</v>
      </c>
      <c r="W158" s="4"/>
      <c r="X158" s="4"/>
      <c r="Y158" s="4"/>
      <c r="Z158" s="4"/>
      <c r="AA158" s="4"/>
      <c r="AB158" s="4"/>
      <c r="AC158" s="4" t="s">
        <v>13</v>
      </c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12" t="s">
        <v>355</v>
      </c>
      <c r="AU158" s="4" t="s">
        <v>368</v>
      </c>
      <c r="AV158" s="4" t="s">
        <v>684</v>
      </c>
      <c r="AW158" s="4" t="s">
        <v>687</v>
      </c>
      <c r="AX158" s="4" t="s">
        <v>690</v>
      </c>
      <c r="AY158" s="4" t="s">
        <v>371</v>
      </c>
      <c r="AZ158" s="13" t="s">
        <v>14</v>
      </c>
      <c r="BA158" s="4" t="s">
        <v>16</v>
      </c>
      <c r="BB158" s="4" t="s">
        <v>450</v>
      </c>
      <c r="BC158" s="13" t="s">
        <v>268</v>
      </c>
      <c r="BD158" s="4">
        <v>4</v>
      </c>
      <c r="BE158" s="4" t="s">
        <v>454</v>
      </c>
      <c r="BF158" s="13" t="s">
        <v>456</v>
      </c>
      <c r="BG158" s="3"/>
    </row>
    <row r="159" spans="1:59" ht="28.5" hidden="1">
      <c r="A159" s="4">
        <v>156</v>
      </c>
      <c r="B159" s="4" t="s">
        <v>10</v>
      </c>
      <c r="C159" s="4" t="s">
        <v>6</v>
      </c>
      <c r="D159" s="4">
        <v>2008</v>
      </c>
      <c r="E159" s="1" t="s">
        <v>245</v>
      </c>
      <c r="F159" s="13" t="s">
        <v>237</v>
      </c>
      <c r="G159" s="4"/>
      <c r="L159" s="6" t="s">
        <v>254</v>
      </c>
      <c r="M159" s="4" t="s">
        <v>266</v>
      </c>
      <c r="N159" s="13" t="s">
        <v>268</v>
      </c>
      <c r="O159" s="4" t="s">
        <v>13</v>
      </c>
      <c r="P159" s="4"/>
      <c r="Q159" s="4"/>
      <c r="R159" s="4"/>
      <c r="S159" s="4"/>
      <c r="T159" s="4"/>
      <c r="U159" s="4"/>
      <c r="V159" s="4" t="s">
        <v>13</v>
      </c>
      <c r="W159" s="4"/>
      <c r="X159" s="4"/>
      <c r="Y159" s="4"/>
      <c r="Z159" s="4"/>
      <c r="AA159" s="4"/>
      <c r="AB159" s="4"/>
      <c r="AC159" s="4" t="s">
        <v>13</v>
      </c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12" t="s">
        <v>355</v>
      </c>
      <c r="AU159" s="4" t="s">
        <v>368</v>
      </c>
      <c r="AV159" s="4" t="s">
        <v>684</v>
      </c>
      <c r="AW159" s="4" t="s">
        <v>687</v>
      </c>
      <c r="AX159" s="4" t="s">
        <v>690</v>
      </c>
      <c r="AY159" s="4" t="s">
        <v>371</v>
      </c>
      <c r="AZ159" s="13" t="s">
        <v>14</v>
      </c>
      <c r="BA159" s="4" t="s">
        <v>16</v>
      </c>
      <c r="BB159" s="4" t="s">
        <v>446</v>
      </c>
      <c r="BC159" s="13" t="s">
        <v>433</v>
      </c>
      <c r="BD159" s="4">
        <v>2</v>
      </c>
      <c r="BE159" s="4" t="s">
        <v>457</v>
      </c>
      <c r="BF159" s="13" t="s">
        <v>456</v>
      </c>
      <c r="BG159" s="3"/>
    </row>
    <row r="160" spans="1:59" ht="28.5" hidden="1">
      <c r="A160" s="4">
        <v>157</v>
      </c>
      <c r="B160" s="4" t="s">
        <v>8</v>
      </c>
      <c r="C160" s="4" t="s">
        <v>7</v>
      </c>
      <c r="D160" s="4">
        <v>2009</v>
      </c>
      <c r="E160" s="1" t="s">
        <v>246</v>
      </c>
      <c r="F160" s="13" t="s">
        <v>247</v>
      </c>
      <c r="G160" s="4"/>
      <c r="L160" s="6" t="s">
        <v>254</v>
      </c>
      <c r="M160" s="4" t="s">
        <v>266</v>
      </c>
      <c r="N160" s="13" t="s">
        <v>268</v>
      </c>
      <c r="O160" s="4" t="s">
        <v>13</v>
      </c>
      <c r="P160" s="4"/>
      <c r="Q160" s="4"/>
      <c r="R160" s="4"/>
      <c r="S160" s="4"/>
      <c r="T160" s="4"/>
      <c r="U160" s="4"/>
      <c r="V160" s="4" t="s">
        <v>13</v>
      </c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12" t="s">
        <v>367</v>
      </c>
      <c r="AU160" s="4" t="s">
        <v>368</v>
      </c>
      <c r="AV160" s="4" t="s">
        <v>684</v>
      </c>
      <c r="AW160" s="4" t="s">
        <v>687</v>
      </c>
      <c r="AX160" s="4" t="s">
        <v>690</v>
      </c>
      <c r="AY160" s="4" t="s">
        <v>371</v>
      </c>
      <c r="AZ160" s="13" t="s">
        <v>14</v>
      </c>
      <c r="BA160" s="4" t="s">
        <v>16</v>
      </c>
      <c r="BB160" s="4" t="s">
        <v>405</v>
      </c>
      <c r="BC160" s="13" t="s">
        <v>433</v>
      </c>
      <c r="BD160" s="4">
        <v>4</v>
      </c>
      <c r="BE160" s="4" t="s">
        <v>454</v>
      </c>
      <c r="BF160" s="13" t="s">
        <v>456</v>
      </c>
      <c r="BG160" s="3"/>
    </row>
    <row r="161" spans="1:59" ht="28.5" hidden="1">
      <c r="A161" s="4">
        <v>158</v>
      </c>
      <c r="B161" s="4" t="s">
        <v>10</v>
      </c>
      <c r="C161" s="4" t="s">
        <v>6</v>
      </c>
      <c r="D161" s="4">
        <v>2013</v>
      </c>
      <c r="E161" s="1" t="s">
        <v>248</v>
      </c>
      <c r="F161" s="13" t="s">
        <v>249</v>
      </c>
      <c r="G161" s="4"/>
      <c r="L161" s="6" t="s">
        <v>253</v>
      </c>
      <c r="M161" s="4" t="s">
        <v>266</v>
      </c>
      <c r="N161" s="13" t="s">
        <v>268</v>
      </c>
      <c r="O161" s="4" t="s">
        <v>13</v>
      </c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12" t="s">
        <v>355</v>
      </c>
      <c r="AU161" s="4" t="s">
        <v>368</v>
      </c>
      <c r="AV161" s="4" t="s">
        <v>684</v>
      </c>
      <c r="AW161" s="4" t="s">
        <v>687</v>
      </c>
      <c r="AX161" s="4" t="s">
        <v>690</v>
      </c>
      <c r="AY161" s="4" t="s">
        <v>371</v>
      </c>
      <c r="AZ161" s="13" t="s">
        <v>14</v>
      </c>
      <c r="BA161" s="4" t="s">
        <v>378</v>
      </c>
      <c r="BB161" s="4" t="s">
        <v>405</v>
      </c>
      <c r="BC161" s="13" t="s">
        <v>268</v>
      </c>
      <c r="BD161" s="4">
        <v>5</v>
      </c>
      <c r="BE161" s="4" t="s">
        <v>457</v>
      </c>
      <c r="BF161" s="13" t="s">
        <v>456</v>
      </c>
      <c r="BG161" s="3"/>
    </row>
    <row r="162" spans="1:59" ht="42.75" hidden="1">
      <c r="A162" s="4">
        <v>159</v>
      </c>
      <c r="B162" s="4" t="s">
        <v>10</v>
      </c>
      <c r="C162" s="4" t="s">
        <v>6</v>
      </c>
      <c r="D162" s="4">
        <v>2012</v>
      </c>
      <c r="E162" s="1" t="s">
        <v>250</v>
      </c>
      <c r="F162" s="13" t="s">
        <v>249</v>
      </c>
      <c r="G162" s="4"/>
      <c r="L162" s="6" t="s">
        <v>256</v>
      </c>
      <c r="M162" s="4" t="s">
        <v>266</v>
      </c>
      <c r="N162" s="13" t="s">
        <v>311</v>
      </c>
      <c r="O162" s="4" t="s">
        <v>13</v>
      </c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12" t="s">
        <v>355</v>
      </c>
      <c r="AU162" s="4" t="s">
        <v>369</v>
      </c>
      <c r="AV162" s="4" t="s">
        <v>684</v>
      </c>
      <c r="AW162" s="4" t="s">
        <v>687</v>
      </c>
      <c r="AX162" s="4" t="s">
        <v>690</v>
      </c>
      <c r="AY162" s="4" t="s">
        <v>371</v>
      </c>
      <c r="AZ162" s="13" t="s">
        <v>374</v>
      </c>
      <c r="BA162" s="4" t="s">
        <v>451</v>
      </c>
      <c r="BB162" s="4" t="s">
        <v>452</v>
      </c>
      <c r="BC162" s="13" t="s">
        <v>453</v>
      </c>
      <c r="BD162" s="4">
        <v>2</v>
      </c>
      <c r="BE162" s="4" t="s">
        <v>457</v>
      </c>
      <c r="BF162" s="13" t="s">
        <v>456</v>
      </c>
      <c r="BG162" s="3"/>
    </row>
    <row r="163" spans="1:59" ht="28.5" hidden="1">
      <c r="A163" s="4">
        <v>160</v>
      </c>
      <c r="B163" s="4" t="s">
        <v>10</v>
      </c>
      <c r="C163" s="4" t="s">
        <v>6</v>
      </c>
      <c r="D163" s="4">
        <v>2014</v>
      </c>
      <c r="E163" s="44" t="s">
        <v>251</v>
      </c>
      <c r="F163" s="13" t="s">
        <v>249</v>
      </c>
      <c r="G163" s="4"/>
      <c r="L163" s="6" t="s">
        <v>253</v>
      </c>
      <c r="M163" s="4" t="s">
        <v>312</v>
      </c>
      <c r="N163" s="4" t="s">
        <v>268</v>
      </c>
      <c r="O163" s="12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 t="s">
        <v>13</v>
      </c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16" t="s">
        <v>364</v>
      </c>
      <c r="AU163" s="17" t="s">
        <v>368</v>
      </c>
      <c r="AV163" s="4" t="s">
        <v>684</v>
      </c>
      <c r="AW163" s="4" t="s">
        <v>687</v>
      </c>
      <c r="AX163" s="4" t="s">
        <v>690</v>
      </c>
      <c r="AY163" s="17" t="s">
        <v>371</v>
      </c>
      <c r="AZ163" s="52" t="s">
        <v>14</v>
      </c>
      <c r="BA163" s="4" t="s">
        <v>268</v>
      </c>
      <c r="BB163" s="4" t="s">
        <v>405</v>
      </c>
      <c r="BC163" s="13" t="s">
        <v>400</v>
      </c>
      <c r="BD163" s="4">
        <v>3</v>
      </c>
      <c r="BE163" s="4" t="s">
        <v>455</v>
      </c>
      <c r="BF163" s="13" t="s">
        <v>456</v>
      </c>
      <c r="BG163" s="3"/>
    </row>
    <row r="164" spans="1:59" ht="28.5" hidden="1">
      <c r="A164" s="4">
        <v>161</v>
      </c>
      <c r="B164" s="4" t="s">
        <v>37</v>
      </c>
      <c r="C164" s="4" t="s">
        <v>7</v>
      </c>
      <c r="D164" s="4">
        <v>2016</v>
      </c>
      <c r="E164" s="1" t="s">
        <v>458</v>
      </c>
      <c r="F164" s="19" t="s">
        <v>64</v>
      </c>
      <c r="G164" s="4"/>
      <c r="L164" s="6" t="s">
        <v>256</v>
      </c>
      <c r="M164" s="4" t="s">
        <v>266</v>
      </c>
      <c r="N164" s="13" t="s">
        <v>263</v>
      </c>
      <c r="O164" s="4"/>
      <c r="P164" s="4" t="s">
        <v>13</v>
      </c>
      <c r="Q164" s="4"/>
      <c r="R164" s="4"/>
      <c r="S164" s="4"/>
      <c r="T164" s="4" t="s">
        <v>13</v>
      </c>
      <c r="U164" s="4" t="s">
        <v>13</v>
      </c>
      <c r="V164" s="4"/>
      <c r="W164" s="4"/>
      <c r="X164" s="4"/>
      <c r="Y164" s="4"/>
      <c r="Z164" s="4"/>
      <c r="AA164" s="4"/>
      <c r="AB164" s="4"/>
      <c r="AC164" s="4"/>
      <c r="AD164" s="4" t="s">
        <v>13</v>
      </c>
      <c r="AE164" s="4"/>
      <c r="AF164" s="4"/>
      <c r="AG164" s="4"/>
      <c r="AH164" s="4"/>
      <c r="AI164" s="4"/>
      <c r="AJ164" s="4"/>
      <c r="AK164" s="4"/>
      <c r="AL164" s="4"/>
      <c r="AM164" s="4"/>
      <c r="AN164" s="4" t="s">
        <v>13</v>
      </c>
      <c r="AO164" s="4"/>
      <c r="AP164" s="4"/>
      <c r="AQ164" s="4"/>
      <c r="AR164" s="4"/>
      <c r="AS164" s="13"/>
      <c r="AT164" s="12" t="s">
        <v>562</v>
      </c>
      <c r="AU164" s="4" t="s">
        <v>368</v>
      </c>
      <c r="AV164" s="4" t="s">
        <v>684</v>
      </c>
      <c r="AW164" s="4" t="s">
        <v>687</v>
      </c>
      <c r="AX164" s="4" t="s">
        <v>690</v>
      </c>
      <c r="AY164" s="4" t="s">
        <v>371</v>
      </c>
      <c r="AZ164" s="13" t="s">
        <v>14</v>
      </c>
      <c r="BA164" s="4" t="s">
        <v>268</v>
      </c>
      <c r="BB164" s="4" t="s">
        <v>375</v>
      </c>
      <c r="BC164" s="13" t="s">
        <v>433</v>
      </c>
      <c r="BD164" s="4">
        <v>2</v>
      </c>
      <c r="BE164" s="4" t="s">
        <v>455</v>
      </c>
      <c r="BF164" s="13" t="s">
        <v>456</v>
      </c>
      <c r="BG164" s="3"/>
    </row>
    <row r="165" spans="1:59" ht="28.5" hidden="1">
      <c r="A165" s="4">
        <v>162</v>
      </c>
      <c r="B165" s="4" t="s">
        <v>37</v>
      </c>
      <c r="C165" s="4" t="s">
        <v>7</v>
      </c>
      <c r="D165" s="4">
        <v>2016</v>
      </c>
      <c r="E165" s="1" t="s">
        <v>459</v>
      </c>
      <c r="F165" s="19" t="s">
        <v>64</v>
      </c>
      <c r="G165" s="4"/>
      <c r="L165" s="6" t="s">
        <v>256</v>
      </c>
      <c r="M165" s="4" t="s">
        <v>266</v>
      </c>
      <c r="N165" s="13" t="s">
        <v>263</v>
      </c>
      <c r="O165" s="4"/>
      <c r="P165" s="4" t="s">
        <v>13</v>
      </c>
      <c r="Q165" s="4"/>
      <c r="R165" s="4"/>
      <c r="S165" s="4"/>
      <c r="T165" s="4" t="s">
        <v>13</v>
      </c>
      <c r="U165" s="4" t="s">
        <v>13</v>
      </c>
      <c r="V165" s="4"/>
      <c r="W165" s="4"/>
      <c r="X165" s="4"/>
      <c r="Y165" s="4"/>
      <c r="Z165" s="4"/>
      <c r="AA165" s="4"/>
      <c r="AB165" s="4"/>
      <c r="AC165" s="4"/>
      <c r="AD165" s="4" t="s">
        <v>13</v>
      </c>
      <c r="AE165" s="4"/>
      <c r="AF165" s="4"/>
      <c r="AG165" s="4"/>
      <c r="AH165" s="4"/>
      <c r="AI165" s="4"/>
      <c r="AJ165" s="4"/>
      <c r="AK165" s="4"/>
      <c r="AL165" s="4"/>
      <c r="AM165" s="4"/>
      <c r="AN165" s="4" t="s">
        <v>13</v>
      </c>
      <c r="AO165" s="4"/>
      <c r="AP165" s="4"/>
      <c r="AQ165" s="4"/>
      <c r="AR165" s="4"/>
      <c r="AS165" s="13"/>
      <c r="AT165" s="12" t="s">
        <v>562</v>
      </c>
      <c r="AU165" s="4" t="s">
        <v>368</v>
      </c>
      <c r="AV165" s="4" t="s">
        <v>684</v>
      </c>
      <c r="AW165" s="4" t="s">
        <v>687</v>
      </c>
      <c r="AX165" s="4" t="s">
        <v>690</v>
      </c>
      <c r="AY165" s="4" t="s">
        <v>371</v>
      </c>
      <c r="AZ165" s="13" t="s">
        <v>14</v>
      </c>
      <c r="BA165" s="4" t="s">
        <v>268</v>
      </c>
      <c r="BB165" s="4" t="s">
        <v>375</v>
      </c>
      <c r="BC165" s="13" t="s">
        <v>433</v>
      </c>
      <c r="BD165" s="4">
        <v>2</v>
      </c>
      <c r="BE165" s="4" t="s">
        <v>455</v>
      </c>
      <c r="BF165" s="13" t="s">
        <v>456</v>
      </c>
      <c r="BG165" s="3"/>
    </row>
    <row r="166" spans="1:59" ht="28.5" hidden="1">
      <c r="A166" s="4">
        <v>163</v>
      </c>
      <c r="B166" s="4" t="s">
        <v>37</v>
      </c>
      <c r="C166" s="4" t="s">
        <v>7</v>
      </c>
      <c r="D166" s="4">
        <v>2016</v>
      </c>
      <c r="E166" s="1" t="s">
        <v>460</v>
      </c>
      <c r="F166" s="19" t="s">
        <v>64</v>
      </c>
      <c r="G166" s="4"/>
      <c r="L166" s="6" t="s">
        <v>256</v>
      </c>
      <c r="M166" s="4" t="s">
        <v>266</v>
      </c>
      <c r="N166" s="13" t="s">
        <v>263</v>
      </c>
      <c r="O166" s="4"/>
      <c r="P166" s="4" t="s">
        <v>13</v>
      </c>
      <c r="Q166" s="4"/>
      <c r="R166" s="4"/>
      <c r="S166" s="4"/>
      <c r="T166" s="4" t="s">
        <v>13</v>
      </c>
      <c r="U166" s="4" t="s">
        <v>13</v>
      </c>
      <c r="V166" s="4"/>
      <c r="W166" s="4"/>
      <c r="X166" s="4"/>
      <c r="Y166" s="4"/>
      <c r="Z166" s="4"/>
      <c r="AA166" s="4"/>
      <c r="AB166" s="4"/>
      <c r="AC166" s="4"/>
      <c r="AD166" s="4" t="s">
        <v>13</v>
      </c>
      <c r="AE166" s="4"/>
      <c r="AF166" s="4"/>
      <c r="AG166" s="4"/>
      <c r="AH166" s="4"/>
      <c r="AI166" s="4"/>
      <c r="AJ166" s="4"/>
      <c r="AK166" s="4"/>
      <c r="AL166" s="4"/>
      <c r="AM166" s="4"/>
      <c r="AN166" s="4" t="s">
        <v>13</v>
      </c>
      <c r="AO166" s="4"/>
      <c r="AP166" s="4"/>
      <c r="AQ166" s="4"/>
      <c r="AR166" s="4"/>
      <c r="AS166" s="13"/>
      <c r="AT166" s="12" t="s">
        <v>562</v>
      </c>
      <c r="AU166" s="4" t="s">
        <v>368</v>
      </c>
      <c r="AV166" s="4" t="s">
        <v>684</v>
      </c>
      <c r="AW166" s="4" t="s">
        <v>687</v>
      </c>
      <c r="AX166" s="4" t="s">
        <v>690</v>
      </c>
      <c r="AY166" s="4" t="s">
        <v>371</v>
      </c>
      <c r="AZ166" s="13" t="s">
        <v>14</v>
      </c>
      <c r="BA166" s="4" t="s">
        <v>268</v>
      </c>
      <c r="BB166" s="4" t="s">
        <v>375</v>
      </c>
      <c r="BC166" s="13" t="s">
        <v>433</v>
      </c>
      <c r="BD166" s="4">
        <v>1</v>
      </c>
      <c r="BE166" s="4" t="s">
        <v>455</v>
      </c>
      <c r="BF166" s="13" t="s">
        <v>456</v>
      </c>
      <c r="BG166" s="3"/>
    </row>
    <row r="167" spans="1:59" ht="28.5" hidden="1">
      <c r="A167" s="4">
        <v>164</v>
      </c>
      <c r="B167" s="4" t="s">
        <v>37</v>
      </c>
      <c r="C167" s="4" t="s">
        <v>7</v>
      </c>
      <c r="D167" s="4">
        <v>2016</v>
      </c>
      <c r="E167" s="1" t="s">
        <v>461</v>
      </c>
      <c r="F167" s="19" t="s">
        <v>64</v>
      </c>
      <c r="G167" s="4"/>
      <c r="L167" s="6" t="s">
        <v>256</v>
      </c>
      <c r="M167" s="4" t="s">
        <v>266</v>
      </c>
      <c r="N167" s="13" t="s">
        <v>263</v>
      </c>
      <c r="O167" s="4"/>
      <c r="P167" s="4" t="s">
        <v>13</v>
      </c>
      <c r="Q167" s="4"/>
      <c r="R167" s="4"/>
      <c r="S167" s="4"/>
      <c r="T167" s="4" t="s">
        <v>13</v>
      </c>
      <c r="U167" s="4" t="s">
        <v>13</v>
      </c>
      <c r="V167" s="4"/>
      <c r="W167" s="4"/>
      <c r="X167" s="4"/>
      <c r="Y167" s="4"/>
      <c r="Z167" s="4"/>
      <c r="AA167" s="4"/>
      <c r="AB167" s="4"/>
      <c r="AC167" s="4"/>
      <c r="AD167" s="4" t="s">
        <v>13</v>
      </c>
      <c r="AE167" s="4"/>
      <c r="AF167" s="4"/>
      <c r="AG167" s="4"/>
      <c r="AH167" s="4"/>
      <c r="AI167" s="4"/>
      <c r="AJ167" s="4"/>
      <c r="AK167" s="4"/>
      <c r="AL167" s="4"/>
      <c r="AM167" s="4"/>
      <c r="AN167" s="4" t="s">
        <v>13</v>
      </c>
      <c r="AO167" s="4"/>
      <c r="AP167" s="4"/>
      <c r="AQ167" s="4"/>
      <c r="AR167" s="4"/>
      <c r="AS167" s="13"/>
      <c r="AT167" s="12" t="s">
        <v>562</v>
      </c>
      <c r="AU167" s="4" t="s">
        <v>368</v>
      </c>
      <c r="AV167" s="4" t="s">
        <v>684</v>
      </c>
      <c r="AW167" s="4" t="s">
        <v>687</v>
      </c>
      <c r="AX167" s="4" t="s">
        <v>690</v>
      </c>
      <c r="AY167" s="4" t="s">
        <v>371</v>
      </c>
      <c r="AZ167" s="13" t="s">
        <v>14</v>
      </c>
      <c r="BA167" s="4" t="s">
        <v>268</v>
      </c>
      <c r="BB167" s="4" t="s">
        <v>375</v>
      </c>
      <c r="BC167" s="13" t="s">
        <v>433</v>
      </c>
      <c r="BD167" s="4">
        <v>3</v>
      </c>
      <c r="BE167" s="4" t="s">
        <v>455</v>
      </c>
      <c r="BF167" s="13" t="s">
        <v>456</v>
      </c>
      <c r="BG167" s="3"/>
    </row>
    <row r="168" spans="1:59" ht="28.5" hidden="1">
      <c r="A168" s="4">
        <v>165</v>
      </c>
      <c r="B168" s="4" t="s">
        <v>37</v>
      </c>
      <c r="C168" s="4" t="s">
        <v>7</v>
      </c>
      <c r="D168" s="4">
        <v>2016</v>
      </c>
      <c r="E168" s="1" t="s">
        <v>462</v>
      </c>
      <c r="F168" s="19" t="s">
        <v>64</v>
      </c>
      <c r="G168" s="4"/>
      <c r="L168" s="6" t="s">
        <v>256</v>
      </c>
      <c r="M168" s="4" t="s">
        <v>266</v>
      </c>
      <c r="N168" s="13" t="s">
        <v>263</v>
      </c>
      <c r="O168" s="4"/>
      <c r="P168" s="4" t="s">
        <v>13</v>
      </c>
      <c r="Q168" s="4"/>
      <c r="R168" s="4"/>
      <c r="S168" s="4"/>
      <c r="T168" s="4" t="s">
        <v>13</v>
      </c>
      <c r="U168" s="4" t="s">
        <v>13</v>
      </c>
      <c r="V168" s="4"/>
      <c r="W168" s="4"/>
      <c r="X168" s="4"/>
      <c r="Y168" s="4"/>
      <c r="Z168" s="4"/>
      <c r="AA168" s="4"/>
      <c r="AB168" s="4"/>
      <c r="AC168" s="4"/>
      <c r="AD168" s="4" t="s">
        <v>13</v>
      </c>
      <c r="AE168" s="4"/>
      <c r="AF168" s="4"/>
      <c r="AG168" s="4"/>
      <c r="AH168" s="4"/>
      <c r="AI168" s="4"/>
      <c r="AJ168" s="4"/>
      <c r="AK168" s="4"/>
      <c r="AL168" s="4"/>
      <c r="AM168" s="4"/>
      <c r="AN168" s="4" t="s">
        <v>13</v>
      </c>
      <c r="AO168" s="4"/>
      <c r="AP168" s="4"/>
      <c r="AQ168" s="4"/>
      <c r="AR168" s="4"/>
      <c r="AS168" s="13"/>
      <c r="AT168" s="12" t="s">
        <v>562</v>
      </c>
      <c r="AU168" s="4" t="s">
        <v>368</v>
      </c>
      <c r="AV168" s="4" t="s">
        <v>684</v>
      </c>
      <c r="AW168" s="4" t="s">
        <v>687</v>
      </c>
      <c r="AX168" s="4" t="s">
        <v>690</v>
      </c>
      <c r="AY168" s="4" t="s">
        <v>371</v>
      </c>
      <c r="AZ168" s="13" t="s">
        <v>14</v>
      </c>
      <c r="BA168" s="4" t="s">
        <v>268</v>
      </c>
      <c r="BB168" s="4" t="s">
        <v>375</v>
      </c>
      <c r="BC168" s="13" t="s">
        <v>433</v>
      </c>
      <c r="BD168" s="4">
        <v>1</v>
      </c>
      <c r="BE168" s="4" t="s">
        <v>457</v>
      </c>
      <c r="BF168" s="13" t="s">
        <v>456</v>
      </c>
      <c r="BG168" s="3"/>
    </row>
    <row r="169" spans="1:59" ht="28.5" hidden="1">
      <c r="A169" s="4">
        <v>166</v>
      </c>
      <c r="B169" s="4" t="s">
        <v>37</v>
      </c>
      <c r="C169" s="4" t="s">
        <v>7</v>
      </c>
      <c r="D169" s="4">
        <v>2016</v>
      </c>
      <c r="E169" s="1" t="s">
        <v>463</v>
      </c>
      <c r="F169" s="19" t="s">
        <v>64</v>
      </c>
      <c r="G169" s="4"/>
      <c r="L169" s="6" t="s">
        <v>256</v>
      </c>
      <c r="M169" s="4" t="s">
        <v>266</v>
      </c>
      <c r="N169" s="13" t="s">
        <v>263</v>
      </c>
      <c r="O169" s="4" t="s">
        <v>13</v>
      </c>
      <c r="P169" s="4"/>
      <c r="Q169" s="4"/>
      <c r="R169" s="4"/>
      <c r="S169" s="4"/>
      <c r="T169" s="4"/>
      <c r="U169" s="4"/>
      <c r="V169" s="4" t="s">
        <v>13</v>
      </c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 t="s">
        <v>13</v>
      </c>
      <c r="AK169" s="4"/>
      <c r="AL169" s="4" t="s">
        <v>13</v>
      </c>
      <c r="AM169" s="4"/>
      <c r="AN169" s="4"/>
      <c r="AO169" s="4"/>
      <c r="AP169" s="4"/>
      <c r="AQ169" s="4"/>
      <c r="AR169" s="4"/>
      <c r="AS169" s="13"/>
      <c r="AT169" s="12" t="s">
        <v>352</v>
      </c>
      <c r="AU169" s="4" t="s">
        <v>368</v>
      </c>
      <c r="AV169" s="4" t="s">
        <v>684</v>
      </c>
      <c r="AW169" s="4" t="s">
        <v>687</v>
      </c>
      <c r="AX169" s="4" t="s">
        <v>690</v>
      </c>
      <c r="AY169" s="4" t="s">
        <v>371</v>
      </c>
      <c r="AZ169" s="13" t="s">
        <v>14</v>
      </c>
      <c r="BA169" s="4" t="s">
        <v>268</v>
      </c>
      <c r="BB169" s="4" t="s">
        <v>375</v>
      </c>
      <c r="BC169" s="13" t="s">
        <v>433</v>
      </c>
      <c r="BD169" s="4">
        <v>1</v>
      </c>
      <c r="BE169" s="4" t="s">
        <v>455</v>
      </c>
      <c r="BF169" s="13" t="s">
        <v>456</v>
      </c>
      <c r="BG169" s="3"/>
    </row>
    <row r="170" spans="1:59" ht="28.5" hidden="1">
      <c r="A170" s="4">
        <v>167</v>
      </c>
      <c r="B170" s="4" t="s">
        <v>37</v>
      </c>
      <c r="C170" s="4" t="s">
        <v>7</v>
      </c>
      <c r="D170" s="4">
        <v>2016</v>
      </c>
      <c r="E170" s="1" t="s">
        <v>464</v>
      </c>
      <c r="F170" s="19" t="s">
        <v>64</v>
      </c>
      <c r="G170" s="4"/>
      <c r="L170" s="6" t="s">
        <v>256</v>
      </c>
      <c r="M170" s="4" t="s">
        <v>266</v>
      </c>
      <c r="N170" s="13" t="s">
        <v>263</v>
      </c>
      <c r="O170" s="4"/>
      <c r="P170" s="4" t="s">
        <v>13</v>
      </c>
      <c r="Q170" s="4"/>
      <c r="R170" s="4"/>
      <c r="S170" s="4"/>
      <c r="T170" s="4" t="s">
        <v>13</v>
      </c>
      <c r="U170" s="4" t="s">
        <v>13</v>
      </c>
      <c r="V170" s="4"/>
      <c r="W170" s="4"/>
      <c r="X170" s="4"/>
      <c r="Y170" s="4"/>
      <c r="Z170" s="4"/>
      <c r="AA170" s="4"/>
      <c r="AB170" s="4"/>
      <c r="AC170" s="4"/>
      <c r="AD170" s="4" t="s">
        <v>13</v>
      </c>
      <c r="AE170" s="4"/>
      <c r="AF170" s="4"/>
      <c r="AG170" s="4"/>
      <c r="AH170" s="4"/>
      <c r="AI170" s="4"/>
      <c r="AJ170" s="4"/>
      <c r="AK170" s="4"/>
      <c r="AL170" s="4"/>
      <c r="AM170" s="4"/>
      <c r="AN170" s="4" t="s">
        <v>13</v>
      </c>
      <c r="AO170" s="4"/>
      <c r="AP170" s="4"/>
      <c r="AQ170" s="4"/>
      <c r="AR170" s="4"/>
      <c r="AS170" s="13"/>
      <c r="AT170" s="12" t="s">
        <v>562</v>
      </c>
      <c r="AU170" s="4" t="s">
        <v>368</v>
      </c>
      <c r="AV170" s="4" t="s">
        <v>684</v>
      </c>
      <c r="AW170" s="4" t="s">
        <v>687</v>
      </c>
      <c r="AX170" s="4" t="s">
        <v>690</v>
      </c>
      <c r="AY170" s="4" t="s">
        <v>371</v>
      </c>
      <c r="AZ170" s="13" t="s">
        <v>14</v>
      </c>
      <c r="BA170" s="4" t="s">
        <v>268</v>
      </c>
      <c r="BB170" s="4" t="s">
        <v>375</v>
      </c>
      <c r="BC170" s="13" t="s">
        <v>433</v>
      </c>
      <c r="BD170" s="4">
        <v>3</v>
      </c>
      <c r="BE170" s="4" t="s">
        <v>454</v>
      </c>
      <c r="BF170" s="13" t="s">
        <v>456</v>
      </c>
      <c r="BG170" s="3"/>
    </row>
    <row r="171" spans="1:59" ht="28.5" hidden="1">
      <c r="A171" s="4">
        <v>168</v>
      </c>
      <c r="B171" s="4" t="s">
        <v>37</v>
      </c>
      <c r="C171" s="4" t="s">
        <v>7</v>
      </c>
      <c r="D171" s="4">
        <v>2016</v>
      </c>
      <c r="E171" s="1" t="s">
        <v>465</v>
      </c>
      <c r="F171" s="19" t="s">
        <v>64</v>
      </c>
      <c r="G171" s="4"/>
      <c r="L171" s="6" t="s">
        <v>256</v>
      </c>
      <c r="M171" s="4" t="s">
        <v>266</v>
      </c>
      <c r="N171" s="13" t="s">
        <v>263</v>
      </c>
      <c r="O171" s="4"/>
      <c r="P171" s="4" t="s">
        <v>13</v>
      </c>
      <c r="Q171" s="4"/>
      <c r="R171" s="4"/>
      <c r="S171" s="4"/>
      <c r="T171" s="4" t="s">
        <v>13</v>
      </c>
      <c r="U171" s="4" t="s">
        <v>13</v>
      </c>
      <c r="V171" s="4"/>
      <c r="W171" s="4"/>
      <c r="X171" s="4"/>
      <c r="Y171" s="4"/>
      <c r="Z171" s="4"/>
      <c r="AA171" s="4"/>
      <c r="AB171" s="4"/>
      <c r="AC171" s="4"/>
      <c r="AD171" s="4" t="s">
        <v>13</v>
      </c>
      <c r="AE171" s="4"/>
      <c r="AF171" s="4"/>
      <c r="AG171" s="4"/>
      <c r="AH171" s="4"/>
      <c r="AI171" s="4"/>
      <c r="AJ171" s="4"/>
      <c r="AK171" s="4"/>
      <c r="AL171" s="4"/>
      <c r="AM171" s="4"/>
      <c r="AN171" s="4" t="s">
        <v>13</v>
      </c>
      <c r="AO171" s="4"/>
      <c r="AP171" s="4"/>
      <c r="AQ171" s="4"/>
      <c r="AR171" s="4"/>
      <c r="AS171" s="13"/>
      <c r="AT171" s="12" t="s">
        <v>562</v>
      </c>
      <c r="AU171" s="4" t="s">
        <v>368</v>
      </c>
      <c r="AV171" s="4" t="s">
        <v>684</v>
      </c>
      <c r="AW171" s="4" t="s">
        <v>687</v>
      </c>
      <c r="AX171" s="4" t="s">
        <v>690</v>
      </c>
      <c r="AY171" s="4" t="s">
        <v>371</v>
      </c>
      <c r="AZ171" s="13" t="s">
        <v>14</v>
      </c>
      <c r="BA171" s="4" t="s">
        <v>268</v>
      </c>
      <c r="BB171" s="4" t="s">
        <v>375</v>
      </c>
      <c r="BC171" s="13" t="s">
        <v>433</v>
      </c>
      <c r="BD171" s="4">
        <v>2</v>
      </c>
      <c r="BE171" s="4" t="s">
        <v>454</v>
      </c>
      <c r="BF171" s="13" t="s">
        <v>456</v>
      </c>
      <c r="BG171" s="3"/>
    </row>
    <row r="172" spans="1:59" ht="28.5" hidden="1">
      <c r="A172" s="4">
        <v>169</v>
      </c>
      <c r="B172" s="4" t="s">
        <v>37</v>
      </c>
      <c r="C172" s="4" t="s">
        <v>7</v>
      </c>
      <c r="D172" s="4">
        <v>2016</v>
      </c>
      <c r="E172" s="44" t="s">
        <v>466</v>
      </c>
      <c r="F172" s="19" t="s">
        <v>64</v>
      </c>
      <c r="G172" s="4"/>
      <c r="L172" s="6" t="s">
        <v>256</v>
      </c>
      <c r="M172" s="4" t="s">
        <v>266</v>
      </c>
      <c r="N172" s="13" t="s">
        <v>263</v>
      </c>
      <c r="O172" s="4"/>
      <c r="P172" s="4" t="s">
        <v>13</v>
      </c>
      <c r="Q172" s="4"/>
      <c r="R172" s="4"/>
      <c r="S172" s="4"/>
      <c r="T172" s="4" t="s">
        <v>13</v>
      </c>
      <c r="U172" s="4" t="s">
        <v>13</v>
      </c>
      <c r="V172" s="4"/>
      <c r="W172" s="4"/>
      <c r="X172" s="4"/>
      <c r="Y172" s="4"/>
      <c r="Z172" s="4"/>
      <c r="AA172" s="4"/>
      <c r="AB172" s="4"/>
      <c r="AC172" s="4"/>
      <c r="AD172" s="4" t="s">
        <v>13</v>
      </c>
      <c r="AE172" s="4"/>
      <c r="AF172" s="4"/>
      <c r="AG172" s="4"/>
      <c r="AH172" s="4"/>
      <c r="AI172" s="4"/>
      <c r="AJ172" s="4"/>
      <c r="AK172" s="4"/>
      <c r="AL172" s="4"/>
      <c r="AM172" s="4"/>
      <c r="AN172" s="4" t="s">
        <v>13</v>
      </c>
      <c r="AO172" s="4"/>
      <c r="AP172" s="4"/>
      <c r="AQ172" s="4"/>
      <c r="AR172" s="4"/>
      <c r="AS172" s="13"/>
      <c r="AT172" s="12" t="s">
        <v>562</v>
      </c>
      <c r="AU172" s="4" t="s">
        <v>368</v>
      </c>
      <c r="AV172" s="4" t="s">
        <v>684</v>
      </c>
      <c r="AW172" s="4" t="s">
        <v>687</v>
      </c>
      <c r="AX172" s="4" t="s">
        <v>690</v>
      </c>
      <c r="AY172" s="4" t="s">
        <v>371</v>
      </c>
      <c r="AZ172" s="13" t="s">
        <v>14</v>
      </c>
      <c r="BA172" s="4" t="s">
        <v>268</v>
      </c>
      <c r="BB172" s="4" t="s">
        <v>375</v>
      </c>
      <c r="BC172" s="13" t="s">
        <v>433</v>
      </c>
      <c r="BD172" s="4">
        <v>1</v>
      </c>
      <c r="BE172" s="4" t="s">
        <v>455</v>
      </c>
      <c r="BF172" s="13" t="s">
        <v>456</v>
      </c>
      <c r="BG172" s="3"/>
    </row>
    <row r="173" spans="1:59" ht="28.5" hidden="1">
      <c r="A173" s="4">
        <v>170</v>
      </c>
      <c r="B173" s="4" t="s">
        <v>37</v>
      </c>
      <c r="C173" s="4" t="s">
        <v>7</v>
      </c>
      <c r="D173" s="4">
        <v>2017</v>
      </c>
      <c r="E173" s="1" t="s">
        <v>471</v>
      </c>
      <c r="F173" s="19" t="s">
        <v>64</v>
      </c>
      <c r="G173" s="4"/>
      <c r="L173" s="6" t="s">
        <v>256</v>
      </c>
      <c r="M173" s="4" t="s">
        <v>266</v>
      </c>
      <c r="N173" s="13" t="s">
        <v>263</v>
      </c>
      <c r="O173" s="4" t="s">
        <v>13</v>
      </c>
      <c r="P173" s="4"/>
      <c r="Q173" s="4"/>
      <c r="R173" s="4"/>
      <c r="S173" s="4" t="s">
        <v>13</v>
      </c>
      <c r="T173" s="4" t="s">
        <v>13</v>
      </c>
      <c r="U173" s="4"/>
      <c r="V173" s="4"/>
      <c r="W173" s="4"/>
      <c r="X173" s="4"/>
      <c r="Y173" s="4" t="s">
        <v>13</v>
      </c>
      <c r="Z173" s="4"/>
      <c r="AA173" s="4"/>
      <c r="AB173" s="4"/>
      <c r="AC173" s="4"/>
      <c r="AD173" s="4"/>
      <c r="AE173" s="4"/>
      <c r="AF173" s="4"/>
      <c r="AG173" s="4"/>
      <c r="AH173" s="4" t="s">
        <v>13</v>
      </c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13"/>
      <c r="AT173" s="12" t="s">
        <v>360</v>
      </c>
      <c r="AU173" s="4" t="s">
        <v>368</v>
      </c>
      <c r="AV173" s="4" t="s">
        <v>684</v>
      </c>
      <c r="AW173" s="4" t="s">
        <v>687</v>
      </c>
      <c r="AX173" s="4" t="s">
        <v>690</v>
      </c>
      <c r="AY173" s="4" t="s">
        <v>373</v>
      </c>
      <c r="AZ173" s="13" t="s">
        <v>14</v>
      </c>
      <c r="BA173" s="4" t="s">
        <v>451</v>
      </c>
      <c r="BB173" s="4" t="s">
        <v>375</v>
      </c>
      <c r="BC173" s="13" t="s">
        <v>400</v>
      </c>
      <c r="BD173" s="4">
        <v>1</v>
      </c>
      <c r="BE173" s="4" t="s">
        <v>455</v>
      </c>
      <c r="BF173" s="13" t="s">
        <v>456</v>
      </c>
      <c r="BG173" s="3"/>
    </row>
    <row r="174" spans="1:59" ht="42.75" hidden="1">
      <c r="A174" s="4">
        <v>171</v>
      </c>
      <c r="B174" s="4" t="s">
        <v>37</v>
      </c>
      <c r="C174" s="4" t="s">
        <v>7</v>
      </c>
      <c r="D174" s="4">
        <v>2017</v>
      </c>
      <c r="E174" s="1" t="s">
        <v>473</v>
      </c>
      <c r="F174" s="19" t="s">
        <v>64</v>
      </c>
      <c r="G174" s="4"/>
      <c r="L174" s="6" t="s">
        <v>252</v>
      </c>
      <c r="M174" s="4" t="s">
        <v>266</v>
      </c>
      <c r="N174" s="13" t="s">
        <v>263</v>
      </c>
      <c r="O174" s="4" t="s">
        <v>13</v>
      </c>
      <c r="P174" s="4"/>
      <c r="Q174" s="4"/>
      <c r="R174" s="4" t="s">
        <v>13</v>
      </c>
      <c r="S174" s="4"/>
      <c r="T174" s="4"/>
      <c r="U174" s="4"/>
      <c r="V174" s="4"/>
      <c r="W174" s="4"/>
      <c r="X174" s="4" t="s">
        <v>13</v>
      </c>
      <c r="Y174" s="4"/>
      <c r="Z174" s="4" t="s">
        <v>13</v>
      </c>
      <c r="AA174" s="4"/>
      <c r="AB174" s="4"/>
      <c r="AC174" s="4"/>
      <c r="AD174" s="4"/>
      <c r="AE174" s="4"/>
      <c r="AF174" s="4"/>
      <c r="AG174" s="4"/>
      <c r="AH174" s="4"/>
      <c r="AI174" s="4" t="s">
        <v>13</v>
      </c>
      <c r="AJ174" s="4"/>
      <c r="AK174" s="4"/>
      <c r="AL174" s="4"/>
      <c r="AM174" s="4"/>
      <c r="AN174" s="4"/>
      <c r="AO174" s="4"/>
      <c r="AP174" s="4"/>
      <c r="AQ174" s="4"/>
      <c r="AR174" s="4"/>
      <c r="AS174" s="13"/>
      <c r="AT174" s="12" t="s">
        <v>349</v>
      </c>
      <c r="AU174" s="4" t="s">
        <v>369</v>
      </c>
      <c r="AV174" s="4" t="s">
        <v>684</v>
      </c>
      <c r="AW174" s="4" t="s">
        <v>687</v>
      </c>
      <c r="AX174" s="4" t="s">
        <v>690</v>
      </c>
      <c r="AY174" s="4" t="s">
        <v>373</v>
      </c>
      <c r="AZ174" s="13" t="s">
        <v>14</v>
      </c>
      <c r="BA174" s="4" t="s">
        <v>268</v>
      </c>
      <c r="BB174" s="4" t="s">
        <v>375</v>
      </c>
      <c r="BC174" s="13" t="s">
        <v>436</v>
      </c>
      <c r="BD174" s="4">
        <v>1</v>
      </c>
      <c r="BE174" s="4" t="s">
        <v>455</v>
      </c>
      <c r="BF174" s="13" t="s">
        <v>456</v>
      </c>
      <c r="BG174" s="3"/>
    </row>
    <row r="175" spans="1:59" ht="42.75" hidden="1">
      <c r="A175" s="4">
        <v>172</v>
      </c>
      <c r="B175" s="4" t="s">
        <v>37</v>
      </c>
      <c r="C175" s="4" t="s">
        <v>7</v>
      </c>
      <c r="D175" s="4">
        <v>2017</v>
      </c>
      <c r="E175" s="1" t="s">
        <v>476</v>
      </c>
      <c r="F175" s="19" t="s">
        <v>64</v>
      </c>
      <c r="G175" s="4"/>
      <c r="L175" s="6" t="s">
        <v>256</v>
      </c>
      <c r="M175" s="4" t="s">
        <v>266</v>
      </c>
      <c r="N175" s="13" t="s">
        <v>263</v>
      </c>
      <c r="O175" s="4"/>
      <c r="P175" s="4" t="s">
        <v>13</v>
      </c>
      <c r="Q175" s="4"/>
      <c r="R175" s="4"/>
      <c r="S175" s="4"/>
      <c r="T175" s="4"/>
      <c r="U175" s="4" t="s">
        <v>13</v>
      </c>
      <c r="V175" s="4"/>
      <c r="W175" s="4"/>
      <c r="X175" s="4"/>
      <c r="Y175" s="4"/>
      <c r="Z175" s="4"/>
      <c r="AA175" s="4"/>
      <c r="AB175" s="4"/>
      <c r="AC175" s="4"/>
      <c r="AD175" s="4" t="s">
        <v>13</v>
      </c>
      <c r="AE175" s="4"/>
      <c r="AF175" s="4"/>
      <c r="AG175" s="4"/>
      <c r="AH175" s="4"/>
      <c r="AI175" s="4" t="s">
        <v>13</v>
      </c>
      <c r="AJ175" s="4"/>
      <c r="AK175" s="4"/>
      <c r="AL175" s="4"/>
      <c r="AM175" s="4"/>
      <c r="AN175" s="4"/>
      <c r="AO175" s="4"/>
      <c r="AP175" s="4"/>
      <c r="AQ175" s="4"/>
      <c r="AR175" s="4"/>
      <c r="AS175" s="13"/>
      <c r="AT175" s="12" t="s">
        <v>355</v>
      </c>
      <c r="AU175" s="4" t="s">
        <v>369</v>
      </c>
      <c r="AV175" s="4" t="s">
        <v>684</v>
      </c>
      <c r="AW175" s="4" t="s">
        <v>687</v>
      </c>
      <c r="AX175" s="4" t="s">
        <v>690</v>
      </c>
      <c r="AY175" s="4" t="s">
        <v>373</v>
      </c>
      <c r="AZ175" s="13" t="s">
        <v>14</v>
      </c>
      <c r="BA175" s="4" t="s">
        <v>268</v>
      </c>
      <c r="BB175" s="4" t="s">
        <v>563</v>
      </c>
      <c r="BC175" s="13" t="s">
        <v>436</v>
      </c>
      <c r="BD175" s="4">
        <v>1</v>
      </c>
      <c r="BE175" s="4" t="s">
        <v>455</v>
      </c>
      <c r="BF175" s="13" t="s">
        <v>456</v>
      </c>
      <c r="BG175" s="3"/>
    </row>
    <row r="176" spans="1:59" ht="42.75" hidden="1">
      <c r="A176" s="4">
        <v>173</v>
      </c>
      <c r="B176" s="4" t="s">
        <v>37</v>
      </c>
      <c r="C176" s="4" t="s">
        <v>7</v>
      </c>
      <c r="D176" s="4">
        <v>2017</v>
      </c>
      <c r="E176" s="1" t="s">
        <v>480</v>
      </c>
      <c r="F176" s="19" t="s">
        <v>64</v>
      </c>
      <c r="G176" s="4"/>
      <c r="L176" s="6" t="s">
        <v>252</v>
      </c>
      <c r="M176" s="4" t="s">
        <v>266</v>
      </c>
      <c r="N176" s="13" t="s">
        <v>263</v>
      </c>
      <c r="O176" s="4" t="s">
        <v>13</v>
      </c>
      <c r="P176" s="4"/>
      <c r="Q176" s="4"/>
      <c r="R176" s="4"/>
      <c r="S176" s="4"/>
      <c r="T176" s="4"/>
      <c r="U176" s="4"/>
      <c r="V176" s="4"/>
      <c r="W176" s="4"/>
      <c r="X176" s="4" t="s">
        <v>13</v>
      </c>
      <c r="Y176" s="4"/>
      <c r="Z176" s="4" t="s">
        <v>346</v>
      </c>
      <c r="AA176" s="4"/>
      <c r="AB176" s="4"/>
      <c r="AC176" s="4"/>
      <c r="AD176" s="4"/>
      <c r="AE176" s="4"/>
      <c r="AF176" s="4"/>
      <c r="AG176" s="4"/>
      <c r="AH176" s="4"/>
      <c r="AI176" s="4" t="s">
        <v>13</v>
      </c>
      <c r="AJ176" s="4"/>
      <c r="AK176" s="4"/>
      <c r="AL176" s="4"/>
      <c r="AM176" s="4"/>
      <c r="AN176" s="4"/>
      <c r="AO176" s="4"/>
      <c r="AP176" s="4"/>
      <c r="AQ176" s="4"/>
      <c r="AR176" s="4"/>
      <c r="AS176" s="13"/>
      <c r="AT176" s="12" t="s">
        <v>349</v>
      </c>
      <c r="AU176" s="4" t="s">
        <v>369</v>
      </c>
      <c r="AV176" s="4" t="s">
        <v>684</v>
      </c>
      <c r="AW176" s="4" t="s">
        <v>687</v>
      </c>
      <c r="AX176" s="4" t="s">
        <v>690</v>
      </c>
      <c r="AY176" s="4" t="s">
        <v>371</v>
      </c>
      <c r="AZ176" s="13" t="s">
        <v>14</v>
      </c>
      <c r="BA176" s="4" t="s">
        <v>268</v>
      </c>
      <c r="BB176" s="4" t="s">
        <v>375</v>
      </c>
      <c r="BC176" s="13" t="s">
        <v>436</v>
      </c>
      <c r="BD176" s="4">
        <v>1</v>
      </c>
      <c r="BE176" s="4" t="s">
        <v>455</v>
      </c>
      <c r="BF176" s="13" t="s">
        <v>456</v>
      </c>
      <c r="BG176" s="3"/>
    </row>
    <row r="177" spans="1:59" ht="42.75" hidden="1">
      <c r="A177" s="4">
        <v>174</v>
      </c>
      <c r="B177" s="4" t="s">
        <v>37</v>
      </c>
      <c r="C177" s="4" t="s">
        <v>7</v>
      </c>
      <c r="D177" s="4">
        <v>2017</v>
      </c>
      <c r="E177" s="45" t="s">
        <v>483</v>
      </c>
      <c r="F177" s="19" t="s">
        <v>64</v>
      </c>
      <c r="G177" s="4"/>
      <c r="L177" s="6" t="s">
        <v>256</v>
      </c>
      <c r="M177" s="4" t="s">
        <v>266</v>
      </c>
      <c r="N177" s="13" t="s">
        <v>263</v>
      </c>
      <c r="O177" s="4"/>
      <c r="P177" s="4" t="s">
        <v>13</v>
      </c>
      <c r="Q177" s="4"/>
      <c r="R177" s="4"/>
      <c r="S177" s="4"/>
      <c r="T177" s="4"/>
      <c r="U177" s="4" t="s">
        <v>13</v>
      </c>
      <c r="V177" s="4"/>
      <c r="W177" s="4"/>
      <c r="X177" s="4"/>
      <c r="Y177" s="4"/>
      <c r="Z177" s="4"/>
      <c r="AA177" s="4"/>
      <c r="AB177" s="4"/>
      <c r="AC177" s="4"/>
      <c r="AD177" s="4" t="s">
        <v>13</v>
      </c>
      <c r="AE177" s="4"/>
      <c r="AF177" s="4"/>
      <c r="AG177" s="4"/>
      <c r="AH177" s="4"/>
      <c r="AI177" s="4" t="s">
        <v>13</v>
      </c>
      <c r="AJ177" s="4"/>
      <c r="AK177" s="4"/>
      <c r="AL177" s="4"/>
      <c r="AM177" s="4"/>
      <c r="AN177" s="4"/>
      <c r="AO177" s="4"/>
      <c r="AP177" s="4"/>
      <c r="AQ177" s="4"/>
      <c r="AR177" s="4"/>
      <c r="AS177" s="13"/>
      <c r="AT177" s="12" t="s">
        <v>355</v>
      </c>
      <c r="AU177" s="4" t="s">
        <v>369</v>
      </c>
      <c r="AV177" s="4" t="s">
        <v>684</v>
      </c>
      <c r="AW177" s="4" t="s">
        <v>687</v>
      </c>
      <c r="AX177" s="4" t="s">
        <v>690</v>
      </c>
      <c r="AY177" s="4" t="s">
        <v>371</v>
      </c>
      <c r="AZ177" s="13" t="s">
        <v>14</v>
      </c>
      <c r="BA177" s="4" t="s">
        <v>268</v>
      </c>
      <c r="BB177" s="4" t="s">
        <v>563</v>
      </c>
      <c r="BC177" s="13" t="s">
        <v>436</v>
      </c>
      <c r="BD177" s="4">
        <v>1</v>
      </c>
      <c r="BE177" s="4" t="s">
        <v>455</v>
      </c>
      <c r="BF177" s="13" t="s">
        <v>456</v>
      </c>
      <c r="BG177" s="3"/>
    </row>
    <row r="178" spans="1:59" ht="42.75" hidden="1">
      <c r="A178" s="4">
        <v>175</v>
      </c>
      <c r="B178" s="4" t="s">
        <v>37</v>
      </c>
      <c r="C178" s="4" t="s">
        <v>7</v>
      </c>
      <c r="D178" s="4">
        <v>2017</v>
      </c>
      <c r="E178" s="1" t="s">
        <v>485</v>
      </c>
      <c r="F178" s="19" t="s">
        <v>64</v>
      </c>
      <c r="G178" s="4"/>
      <c r="L178" s="6" t="s">
        <v>256</v>
      </c>
      <c r="M178" s="4" t="s">
        <v>266</v>
      </c>
      <c r="N178" s="13" t="s">
        <v>263</v>
      </c>
      <c r="O178" s="4"/>
      <c r="P178" s="4" t="s">
        <v>13</v>
      </c>
      <c r="Q178" s="4"/>
      <c r="R178" s="4"/>
      <c r="S178" s="4"/>
      <c r="T178" s="4"/>
      <c r="U178" s="4" t="s">
        <v>13</v>
      </c>
      <c r="V178" s="4"/>
      <c r="W178" s="4"/>
      <c r="X178" s="4"/>
      <c r="Y178" s="4"/>
      <c r="Z178" s="4"/>
      <c r="AA178" s="4"/>
      <c r="AB178" s="4"/>
      <c r="AC178" s="4"/>
      <c r="AD178" s="4" t="s">
        <v>13</v>
      </c>
      <c r="AE178" s="4"/>
      <c r="AF178" s="4"/>
      <c r="AG178" s="4"/>
      <c r="AH178" s="4"/>
      <c r="AI178" s="4" t="s">
        <v>13</v>
      </c>
      <c r="AJ178" s="4"/>
      <c r="AK178" s="4"/>
      <c r="AL178" s="4"/>
      <c r="AM178" s="4"/>
      <c r="AN178" s="4"/>
      <c r="AO178" s="4"/>
      <c r="AP178" s="4"/>
      <c r="AQ178" s="4"/>
      <c r="AR178" s="4"/>
      <c r="AS178" s="13"/>
      <c r="AT178" s="12" t="s">
        <v>355</v>
      </c>
      <c r="AU178" s="4" t="s">
        <v>369</v>
      </c>
      <c r="AV178" s="4" t="s">
        <v>684</v>
      </c>
      <c r="AW178" s="4" t="s">
        <v>687</v>
      </c>
      <c r="AX178" s="4" t="s">
        <v>690</v>
      </c>
      <c r="AY178" s="4" t="s">
        <v>371</v>
      </c>
      <c r="AZ178" s="13" t="s">
        <v>14</v>
      </c>
      <c r="BA178" s="4" t="s">
        <v>268</v>
      </c>
      <c r="BB178" s="4" t="s">
        <v>563</v>
      </c>
      <c r="BC178" s="13" t="s">
        <v>436</v>
      </c>
      <c r="BD178" s="4">
        <v>1</v>
      </c>
      <c r="BE178" s="4" t="s">
        <v>455</v>
      </c>
      <c r="BF178" s="13" t="s">
        <v>456</v>
      </c>
      <c r="BG178" s="3"/>
    </row>
    <row r="179" spans="1:59" ht="42.75" hidden="1">
      <c r="A179" s="4">
        <v>176</v>
      </c>
      <c r="B179" s="4" t="s">
        <v>37</v>
      </c>
      <c r="C179" s="4" t="s">
        <v>7</v>
      </c>
      <c r="D179" s="4">
        <v>2017</v>
      </c>
      <c r="E179" s="45" t="s">
        <v>487</v>
      </c>
      <c r="F179" s="19" t="s">
        <v>64</v>
      </c>
      <c r="G179" s="4"/>
      <c r="L179" s="6" t="s">
        <v>256</v>
      </c>
      <c r="M179" s="4" t="s">
        <v>266</v>
      </c>
      <c r="N179" s="13" t="s">
        <v>263</v>
      </c>
      <c r="O179" s="4"/>
      <c r="P179" s="4" t="s">
        <v>13</v>
      </c>
      <c r="Q179" s="4"/>
      <c r="R179" s="4"/>
      <c r="S179" s="4"/>
      <c r="T179" s="4"/>
      <c r="U179" s="4" t="s">
        <v>13</v>
      </c>
      <c r="V179" s="4"/>
      <c r="W179" s="4"/>
      <c r="X179" s="4"/>
      <c r="Y179" s="4"/>
      <c r="Z179" s="4"/>
      <c r="AA179" s="4"/>
      <c r="AB179" s="4"/>
      <c r="AC179" s="4"/>
      <c r="AD179" s="4" t="s">
        <v>13</v>
      </c>
      <c r="AE179" s="4"/>
      <c r="AF179" s="4"/>
      <c r="AG179" s="4"/>
      <c r="AH179" s="4"/>
      <c r="AI179" s="4" t="s">
        <v>13</v>
      </c>
      <c r="AJ179" s="4"/>
      <c r="AK179" s="4"/>
      <c r="AL179" s="4"/>
      <c r="AM179" s="4"/>
      <c r="AN179" s="4"/>
      <c r="AO179" s="4"/>
      <c r="AP179" s="4"/>
      <c r="AQ179" s="4"/>
      <c r="AR179" s="4"/>
      <c r="AS179" s="13"/>
      <c r="AT179" s="12" t="s">
        <v>355</v>
      </c>
      <c r="AU179" s="4" t="s">
        <v>369</v>
      </c>
      <c r="AV179" s="4" t="s">
        <v>684</v>
      </c>
      <c r="AW179" s="4" t="s">
        <v>687</v>
      </c>
      <c r="AX179" s="4" t="s">
        <v>690</v>
      </c>
      <c r="AY179" s="4" t="s">
        <v>371</v>
      </c>
      <c r="AZ179" s="13" t="s">
        <v>14</v>
      </c>
      <c r="BA179" s="4" t="s">
        <v>396</v>
      </c>
      <c r="BB179" s="4" t="s">
        <v>563</v>
      </c>
      <c r="BC179" s="13" t="s">
        <v>436</v>
      </c>
      <c r="BD179" s="4">
        <v>1</v>
      </c>
      <c r="BE179" s="4" t="s">
        <v>455</v>
      </c>
      <c r="BF179" s="13" t="s">
        <v>456</v>
      </c>
      <c r="BG179" s="3"/>
    </row>
    <row r="180" spans="1:59" ht="42.75" hidden="1">
      <c r="A180" s="4">
        <v>177</v>
      </c>
      <c r="B180" s="4" t="s">
        <v>37</v>
      </c>
      <c r="C180" s="4" t="s">
        <v>7</v>
      </c>
      <c r="D180" s="4">
        <v>2017</v>
      </c>
      <c r="E180" s="45" t="s">
        <v>488</v>
      </c>
      <c r="F180" s="19" t="s">
        <v>64</v>
      </c>
      <c r="G180" s="4"/>
      <c r="L180" s="6" t="s">
        <v>252</v>
      </c>
      <c r="M180" s="4" t="s">
        <v>266</v>
      </c>
      <c r="N180" s="13" t="s">
        <v>263</v>
      </c>
      <c r="O180" s="4" t="s">
        <v>13</v>
      </c>
      <c r="P180" s="4"/>
      <c r="Q180" s="4"/>
      <c r="R180" s="4"/>
      <c r="S180" s="4"/>
      <c r="T180" s="4"/>
      <c r="U180" s="4"/>
      <c r="V180" s="4"/>
      <c r="W180" s="4"/>
      <c r="X180" s="4" t="s">
        <v>13</v>
      </c>
      <c r="Y180" s="4"/>
      <c r="Z180" s="4" t="s">
        <v>13</v>
      </c>
      <c r="AA180" s="4"/>
      <c r="AB180" s="4"/>
      <c r="AC180" s="4"/>
      <c r="AD180" s="4"/>
      <c r="AE180" s="4"/>
      <c r="AF180" s="4"/>
      <c r="AG180" s="4"/>
      <c r="AH180" s="4"/>
      <c r="AI180" s="4" t="s">
        <v>13</v>
      </c>
      <c r="AJ180" s="4"/>
      <c r="AK180" s="4"/>
      <c r="AL180" s="4"/>
      <c r="AM180" s="4"/>
      <c r="AN180" s="4"/>
      <c r="AO180" s="4"/>
      <c r="AP180" s="4"/>
      <c r="AQ180" s="4"/>
      <c r="AR180" s="4"/>
      <c r="AS180" s="13"/>
      <c r="AT180" s="12" t="s">
        <v>349</v>
      </c>
      <c r="AU180" s="4" t="s">
        <v>369</v>
      </c>
      <c r="AV180" s="4" t="s">
        <v>684</v>
      </c>
      <c r="AW180" s="4" t="s">
        <v>687</v>
      </c>
      <c r="AX180" s="4" t="s">
        <v>690</v>
      </c>
      <c r="AY180" s="4" t="s">
        <v>371</v>
      </c>
      <c r="AZ180" s="13" t="s">
        <v>14</v>
      </c>
      <c r="BA180" s="4" t="s">
        <v>268</v>
      </c>
      <c r="BB180" s="4" t="s">
        <v>375</v>
      </c>
      <c r="BC180" s="13" t="s">
        <v>436</v>
      </c>
      <c r="BD180" s="4">
        <v>1</v>
      </c>
      <c r="BE180" s="4" t="s">
        <v>455</v>
      </c>
      <c r="BF180" s="13" t="s">
        <v>456</v>
      </c>
      <c r="BG180" s="3"/>
    </row>
    <row r="181" spans="1:59" ht="42.75" hidden="1">
      <c r="A181" s="4">
        <v>178</v>
      </c>
      <c r="B181" s="4" t="s">
        <v>37</v>
      </c>
      <c r="C181" s="4" t="s">
        <v>7</v>
      </c>
      <c r="D181" s="4">
        <v>2017</v>
      </c>
      <c r="E181" s="45" t="s">
        <v>489</v>
      </c>
      <c r="F181" s="19" t="s">
        <v>64</v>
      </c>
      <c r="G181" s="4"/>
      <c r="L181" s="6" t="s">
        <v>252</v>
      </c>
      <c r="M181" s="4" t="s">
        <v>266</v>
      </c>
      <c r="N181" s="13" t="s">
        <v>263</v>
      </c>
      <c r="O181" s="4" t="s">
        <v>13</v>
      </c>
      <c r="P181" s="4"/>
      <c r="Q181" s="4"/>
      <c r="R181" s="4"/>
      <c r="S181" s="4"/>
      <c r="T181" s="4"/>
      <c r="U181" s="4"/>
      <c r="V181" s="4"/>
      <c r="W181" s="4"/>
      <c r="X181" s="4" t="s">
        <v>13</v>
      </c>
      <c r="Y181" s="4"/>
      <c r="Z181" s="4" t="s">
        <v>13</v>
      </c>
      <c r="AA181" s="4"/>
      <c r="AB181" s="4"/>
      <c r="AC181" s="4"/>
      <c r="AD181" s="4"/>
      <c r="AE181" s="4"/>
      <c r="AF181" s="4"/>
      <c r="AG181" s="4"/>
      <c r="AH181" s="4"/>
      <c r="AI181" s="4" t="s">
        <v>13</v>
      </c>
      <c r="AJ181" s="4"/>
      <c r="AK181" s="4"/>
      <c r="AL181" s="4"/>
      <c r="AM181" s="4"/>
      <c r="AN181" s="4"/>
      <c r="AO181" s="4"/>
      <c r="AP181" s="4"/>
      <c r="AQ181" s="4"/>
      <c r="AR181" s="4"/>
      <c r="AS181" s="13"/>
      <c r="AT181" s="12" t="s">
        <v>349</v>
      </c>
      <c r="AU181" s="4" t="s">
        <v>369</v>
      </c>
      <c r="AV181" s="4" t="s">
        <v>684</v>
      </c>
      <c r="AW181" s="4" t="s">
        <v>687</v>
      </c>
      <c r="AX181" s="4" t="s">
        <v>690</v>
      </c>
      <c r="AY181" s="4" t="s">
        <v>371</v>
      </c>
      <c r="AZ181" s="13" t="s">
        <v>14</v>
      </c>
      <c r="BA181" s="4" t="s">
        <v>268</v>
      </c>
      <c r="BB181" s="4" t="s">
        <v>375</v>
      </c>
      <c r="BC181" s="13" t="s">
        <v>436</v>
      </c>
      <c r="BD181" s="4">
        <v>2</v>
      </c>
      <c r="BE181" s="4" t="s">
        <v>457</v>
      </c>
      <c r="BF181" s="13" t="s">
        <v>456</v>
      </c>
      <c r="BG181" s="3"/>
    </row>
    <row r="182" spans="1:59" ht="28.5" hidden="1">
      <c r="A182" s="4">
        <v>179</v>
      </c>
      <c r="B182" s="4" t="s">
        <v>37</v>
      </c>
      <c r="C182" s="4" t="s">
        <v>7</v>
      </c>
      <c r="D182" s="4">
        <v>2017</v>
      </c>
      <c r="E182" s="45" t="s">
        <v>490</v>
      </c>
      <c r="F182" s="19" t="s">
        <v>64</v>
      </c>
      <c r="G182" s="4"/>
      <c r="L182" s="6" t="s">
        <v>256</v>
      </c>
      <c r="M182" s="4" t="s">
        <v>266</v>
      </c>
      <c r="N182" s="13" t="s">
        <v>263</v>
      </c>
      <c r="O182" s="4" t="s">
        <v>13</v>
      </c>
      <c r="P182" s="4"/>
      <c r="Q182" s="4"/>
      <c r="R182" s="4"/>
      <c r="S182" s="4" t="s">
        <v>13</v>
      </c>
      <c r="T182" s="4" t="s">
        <v>13</v>
      </c>
      <c r="U182" s="4"/>
      <c r="V182" s="4"/>
      <c r="W182" s="4"/>
      <c r="X182" s="4"/>
      <c r="Y182" s="4" t="s">
        <v>13</v>
      </c>
      <c r="Z182" s="4"/>
      <c r="AA182" s="4"/>
      <c r="AB182" s="4"/>
      <c r="AC182" s="4"/>
      <c r="AD182" s="4"/>
      <c r="AE182" s="4"/>
      <c r="AF182" s="4"/>
      <c r="AG182" s="4"/>
      <c r="AH182" s="4" t="s">
        <v>13</v>
      </c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13"/>
      <c r="AT182" s="12" t="s">
        <v>360</v>
      </c>
      <c r="AU182" s="4" t="s">
        <v>368</v>
      </c>
      <c r="AV182" s="4" t="s">
        <v>684</v>
      </c>
      <c r="AW182" s="4" t="s">
        <v>687</v>
      </c>
      <c r="AX182" s="4" t="s">
        <v>690</v>
      </c>
      <c r="AY182" s="4" t="s">
        <v>371</v>
      </c>
      <c r="AZ182" s="13" t="s">
        <v>14</v>
      </c>
      <c r="BA182" s="4" t="s">
        <v>451</v>
      </c>
      <c r="BB182" s="4" t="s">
        <v>375</v>
      </c>
      <c r="BC182" s="13" t="s">
        <v>400</v>
      </c>
      <c r="BD182" s="4">
        <v>1</v>
      </c>
      <c r="BE182" s="4" t="s">
        <v>455</v>
      </c>
      <c r="BF182" s="13" t="s">
        <v>456</v>
      </c>
      <c r="BG182" s="3"/>
    </row>
    <row r="183" spans="1:59" ht="28.5" hidden="1">
      <c r="A183" s="4">
        <v>180</v>
      </c>
      <c r="B183" s="4" t="s">
        <v>37</v>
      </c>
      <c r="C183" s="4" t="s">
        <v>7</v>
      </c>
      <c r="D183" s="4">
        <v>2018</v>
      </c>
      <c r="E183" s="1" t="s">
        <v>474</v>
      </c>
      <c r="F183" s="19" t="s">
        <v>64</v>
      </c>
      <c r="G183" s="4"/>
      <c r="L183" s="6" t="s">
        <v>256</v>
      </c>
      <c r="M183" s="4" t="s">
        <v>266</v>
      </c>
      <c r="N183" s="13" t="s">
        <v>263</v>
      </c>
      <c r="O183" s="4"/>
      <c r="P183" s="4"/>
      <c r="Q183" s="4"/>
      <c r="R183" s="4" t="s">
        <v>13</v>
      </c>
      <c r="S183" s="4"/>
      <c r="T183" s="4"/>
      <c r="U183" s="4"/>
      <c r="V183" s="4"/>
      <c r="W183" s="4"/>
      <c r="X183" s="4"/>
      <c r="Y183" s="4" t="s">
        <v>13</v>
      </c>
      <c r="Z183" s="4"/>
      <c r="AA183" s="4"/>
      <c r="AB183" s="4"/>
      <c r="AC183" s="4"/>
      <c r="AD183" s="4"/>
      <c r="AE183" s="4"/>
      <c r="AF183" s="4"/>
      <c r="AG183" s="4" t="s">
        <v>13</v>
      </c>
      <c r="AH183" s="4"/>
      <c r="AI183" s="4"/>
      <c r="AJ183" s="4" t="s">
        <v>13</v>
      </c>
      <c r="AK183" s="4"/>
      <c r="AL183" s="4"/>
      <c r="AM183" s="4"/>
      <c r="AN183" s="4"/>
      <c r="AO183" s="4"/>
      <c r="AP183" s="4"/>
      <c r="AQ183" s="4"/>
      <c r="AR183" s="4"/>
      <c r="AS183" s="13"/>
      <c r="AT183" s="12" t="s">
        <v>363</v>
      </c>
      <c r="AU183" s="4" t="s">
        <v>369</v>
      </c>
      <c r="AV183" s="4" t="s">
        <v>684</v>
      </c>
      <c r="AW183" s="4" t="s">
        <v>687</v>
      </c>
      <c r="AX183" s="4" t="s">
        <v>690</v>
      </c>
      <c r="AY183" s="4" t="s">
        <v>373</v>
      </c>
      <c r="AZ183" s="13" t="s">
        <v>14</v>
      </c>
      <c r="BA183" s="4" t="s">
        <v>396</v>
      </c>
      <c r="BB183" s="4" t="s">
        <v>268</v>
      </c>
      <c r="BC183" s="13" t="s">
        <v>433</v>
      </c>
      <c r="BD183" s="4">
        <v>1</v>
      </c>
      <c r="BE183" s="4" t="s">
        <v>455</v>
      </c>
      <c r="BF183" s="13" t="s">
        <v>456</v>
      </c>
      <c r="BG183" s="3"/>
    </row>
    <row r="184" spans="1:59" ht="28.5" hidden="1">
      <c r="A184" s="4">
        <v>181</v>
      </c>
      <c r="B184" s="4" t="s">
        <v>37</v>
      </c>
      <c r="C184" s="4" t="s">
        <v>7</v>
      </c>
      <c r="D184" s="4">
        <v>2018</v>
      </c>
      <c r="E184" s="1" t="s">
        <v>477</v>
      </c>
      <c r="F184" s="19" t="s">
        <v>64</v>
      </c>
      <c r="G184" s="4"/>
      <c r="L184" s="6" t="s">
        <v>256</v>
      </c>
      <c r="M184" s="4" t="s">
        <v>266</v>
      </c>
      <c r="N184" s="13" t="s">
        <v>263</v>
      </c>
      <c r="O184" s="4"/>
      <c r="P184" s="4"/>
      <c r="Q184" s="4"/>
      <c r="R184" s="4" t="s">
        <v>13</v>
      </c>
      <c r="S184" s="4"/>
      <c r="T184" s="4"/>
      <c r="U184" s="4"/>
      <c r="V184" s="4"/>
      <c r="W184" s="4"/>
      <c r="X184" s="4"/>
      <c r="Y184" s="4" t="s">
        <v>13</v>
      </c>
      <c r="Z184" s="4"/>
      <c r="AA184" s="4"/>
      <c r="AB184" s="4"/>
      <c r="AC184" s="4"/>
      <c r="AD184" s="4"/>
      <c r="AE184" s="4"/>
      <c r="AF184" s="4"/>
      <c r="AG184" s="4" t="s">
        <v>13</v>
      </c>
      <c r="AH184" s="4"/>
      <c r="AI184" s="4"/>
      <c r="AJ184" s="4" t="s">
        <v>13</v>
      </c>
      <c r="AK184" s="4"/>
      <c r="AL184" s="4"/>
      <c r="AM184" s="4"/>
      <c r="AN184" s="4"/>
      <c r="AO184" s="4"/>
      <c r="AP184" s="4"/>
      <c r="AQ184" s="4"/>
      <c r="AR184" s="4"/>
      <c r="AS184" s="13"/>
      <c r="AT184" s="12" t="s">
        <v>363</v>
      </c>
      <c r="AU184" s="4" t="s">
        <v>369</v>
      </c>
      <c r="AV184" s="4" t="s">
        <v>684</v>
      </c>
      <c r="AW184" s="4" t="s">
        <v>687</v>
      </c>
      <c r="AX184" s="4" t="s">
        <v>690</v>
      </c>
      <c r="AY184" s="4" t="s">
        <v>371</v>
      </c>
      <c r="AZ184" s="13" t="s">
        <v>14</v>
      </c>
      <c r="BA184" s="4" t="s">
        <v>268</v>
      </c>
      <c r="BB184" s="4" t="s">
        <v>268</v>
      </c>
      <c r="BC184" s="13" t="s">
        <v>433</v>
      </c>
      <c r="BD184" s="4">
        <v>2</v>
      </c>
      <c r="BE184" s="4" t="s">
        <v>457</v>
      </c>
      <c r="BF184" s="13" t="s">
        <v>456</v>
      </c>
      <c r="BG184" s="3"/>
    </row>
    <row r="185" spans="1:59" ht="28.5" hidden="1">
      <c r="A185" s="4">
        <v>182</v>
      </c>
      <c r="B185" s="4" t="s">
        <v>37</v>
      </c>
      <c r="C185" s="4" t="s">
        <v>7</v>
      </c>
      <c r="D185" s="4">
        <v>2018</v>
      </c>
      <c r="E185" s="1" t="s">
        <v>479</v>
      </c>
      <c r="F185" s="19" t="s">
        <v>64</v>
      </c>
      <c r="G185" s="4"/>
      <c r="L185" s="6" t="s">
        <v>256</v>
      </c>
      <c r="M185" s="4" t="s">
        <v>266</v>
      </c>
      <c r="N185" s="13" t="s">
        <v>263</v>
      </c>
      <c r="O185" s="4"/>
      <c r="P185" s="4"/>
      <c r="Q185" s="4"/>
      <c r="R185" s="4" t="s">
        <v>13</v>
      </c>
      <c r="S185" s="4"/>
      <c r="T185" s="4"/>
      <c r="U185" s="4"/>
      <c r="V185" s="4"/>
      <c r="W185" s="4"/>
      <c r="X185" s="4"/>
      <c r="Y185" s="4" t="s">
        <v>13</v>
      </c>
      <c r="Z185" s="4"/>
      <c r="AA185" s="4"/>
      <c r="AB185" s="4"/>
      <c r="AC185" s="4"/>
      <c r="AD185" s="4"/>
      <c r="AE185" s="4"/>
      <c r="AF185" s="4"/>
      <c r="AG185" s="4" t="s">
        <v>13</v>
      </c>
      <c r="AH185" s="4"/>
      <c r="AI185" s="4"/>
      <c r="AJ185" s="4" t="s">
        <v>13</v>
      </c>
      <c r="AK185" s="4"/>
      <c r="AL185" s="4"/>
      <c r="AM185" s="4"/>
      <c r="AN185" s="4"/>
      <c r="AO185" s="4"/>
      <c r="AP185" s="4"/>
      <c r="AQ185" s="4"/>
      <c r="AR185" s="4"/>
      <c r="AS185" s="13"/>
      <c r="AT185" s="12" t="s">
        <v>363</v>
      </c>
      <c r="AU185" s="4" t="s">
        <v>369</v>
      </c>
      <c r="AV185" s="4" t="s">
        <v>684</v>
      </c>
      <c r="AW185" s="4" t="s">
        <v>687</v>
      </c>
      <c r="AX185" s="4" t="s">
        <v>690</v>
      </c>
      <c r="AY185" s="4" t="s">
        <v>371</v>
      </c>
      <c r="AZ185" s="13" t="s">
        <v>14</v>
      </c>
      <c r="BA185" s="4" t="s">
        <v>268</v>
      </c>
      <c r="BB185" s="4" t="s">
        <v>268</v>
      </c>
      <c r="BC185" s="13" t="s">
        <v>433</v>
      </c>
      <c r="BD185" s="4">
        <v>2</v>
      </c>
      <c r="BE185" s="4" t="s">
        <v>457</v>
      </c>
      <c r="BF185" s="13" t="s">
        <v>456</v>
      </c>
      <c r="BG185" s="3"/>
    </row>
    <row r="186" spans="1:59" ht="28.5" hidden="1">
      <c r="A186" s="4">
        <v>183</v>
      </c>
      <c r="B186" s="4" t="s">
        <v>37</v>
      </c>
      <c r="C186" s="4" t="s">
        <v>7</v>
      </c>
      <c r="D186" s="4">
        <v>2018</v>
      </c>
      <c r="E186" s="45" t="s">
        <v>481</v>
      </c>
      <c r="F186" s="19" t="s">
        <v>64</v>
      </c>
      <c r="G186" s="4"/>
      <c r="L186" s="6" t="s">
        <v>256</v>
      </c>
      <c r="M186" s="4" t="s">
        <v>266</v>
      </c>
      <c r="N186" s="13" t="s">
        <v>263</v>
      </c>
      <c r="O186" s="4"/>
      <c r="P186" s="4"/>
      <c r="Q186" s="4"/>
      <c r="R186" s="4" t="s">
        <v>13</v>
      </c>
      <c r="S186" s="4"/>
      <c r="T186" s="4"/>
      <c r="U186" s="4"/>
      <c r="V186" s="4"/>
      <c r="W186" s="4"/>
      <c r="X186" s="4"/>
      <c r="Y186" s="4" t="s">
        <v>13</v>
      </c>
      <c r="Z186" s="4"/>
      <c r="AA186" s="4"/>
      <c r="AB186" s="4"/>
      <c r="AC186" s="4"/>
      <c r="AD186" s="4"/>
      <c r="AE186" s="4"/>
      <c r="AF186" s="4"/>
      <c r="AG186" s="4" t="s">
        <v>13</v>
      </c>
      <c r="AH186" s="4" t="s">
        <v>13</v>
      </c>
      <c r="AI186" s="4" t="s">
        <v>13</v>
      </c>
      <c r="AJ186" s="4" t="s">
        <v>13</v>
      </c>
      <c r="AK186" s="4"/>
      <c r="AL186" s="4"/>
      <c r="AM186" s="4"/>
      <c r="AN186" s="4"/>
      <c r="AO186" s="4"/>
      <c r="AP186" s="4"/>
      <c r="AQ186" s="4"/>
      <c r="AR186" s="4"/>
      <c r="AS186" s="13"/>
      <c r="AT186" s="12" t="s">
        <v>363</v>
      </c>
      <c r="AU186" s="4" t="s">
        <v>369</v>
      </c>
      <c r="AV186" s="4" t="s">
        <v>684</v>
      </c>
      <c r="AW186" s="4" t="s">
        <v>687</v>
      </c>
      <c r="AX186" s="4" t="s">
        <v>690</v>
      </c>
      <c r="AY186" s="4" t="s">
        <v>371</v>
      </c>
      <c r="AZ186" s="13" t="s">
        <v>14</v>
      </c>
      <c r="BA186" s="4" t="s">
        <v>268</v>
      </c>
      <c r="BB186" s="4" t="s">
        <v>268</v>
      </c>
      <c r="BC186" s="13" t="s">
        <v>433</v>
      </c>
      <c r="BD186" s="4">
        <v>1</v>
      </c>
      <c r="BE186" s="4" t="s">
        <v>455</v>
      </c>
      <c r="BF186" s="13" t="s">
        <v>456</v>
      </c>
      <c r="BG186" s="3"/>
    </row>
    <row r="187" spans="1:59" ht="28.5" hidden="1">
      <c r="A187" s="4">
        <v>184</v>
      </c>
      <c r="B187" s="4" t="s">
        <v>37</v>
      </c>
      <c r="C187" s="4" t="s">
        <v>7</v>
      </c>
      <c r="D187" s="4">
        <v>2018</v>
      </c>
      <c r="E187" s="45" t="s">
        <v>484</v>
      </c>
      <c r="F187" s="19" t="s">
        <v>64</v>
      </c>
      <c r="G187" s="4"/>
      <c r="L187" s="6" t="s">
        <v>256</v>
      </c>
      <c r="M187" s="4" t="s">
        <v>266</v>
      </c>
      <c r="N187" s="13" t="s">
        <v>263</v>
      </c>
      <c r="O187" s="4"/>
      <c r="P187" s="4"/>
      <c r="Q187" s="4"/>
      <c r="R187" s="4" t="s">
        <v>13</v>
      </c>
      <c r="S187" s="4"/>
      <c r="T187" s="4"/>
      <c r="U187" s="4"/>
      <c r="V187" s="4"/>
      <c r="W187" s="4"/>
      <c r="X187" s="4"/>
      <c r="Y187" s="4" t="s">
        <v>13</v>
      </c>
      <c r="Z187" s="4"/>
      <c r="AA187" s="4"/>
      <c r="AB187" s="4"/>
      <c r="AC187" s="4"/>
      <c r="AD187" s="4"/>
      <c r="AE187" s="4"/>
      <c r="AF187" s="4"/>
      <c r="AG187" s="4" t="s">
        <v>13</v>
      </c>
      <c r="AH187" s="4"/>
      <c r="AI187" s="4"/>
      <c r="AJ187" s="4" t="s">
        <v>13</v>
      </c>
      <c r="AK187" s="4"/>
      <c r="AL187" s="4"/>
      <c r="AM187" s="4"/>
      <c r="AN187" s="4"/>
      <c r="AO187" s="4"/>
      <c r="AP187" s="4"/>
      <c r="AQ187" s="4"/>
      <c r="AR187" s="4"/>
      <c r="AS187" s="13"/>
      <c r="AT187" s="12" t="s">
        <v>363</v>
      </c>
      <c r="AU187" s="4" t="s">
        <v>369</v>
      </c>
      <c r="AV187" s="4" t="s">
        <v>684</v>
      </c>
      <c r="AW187" s="4" t="s">
        <v>687</v>
      </c>
      <c r="AX187" s="4" t="s">
        <v>690</v>
      </c>
      <c r="AY187" s="4" t="s">
        <v>371</v>
      </c>
      <c r="AZ187" s="13" t="s">
        <v>14</v>
      </c>
      <c r="BA187" s="4" t="s">
        <v>268</v>
      </c>
      <c r="BB187" s="4" t="s">
        <v>268</v>
      </c>
      <c r="BC187" s="13" t="s">
        <v>433</v>
      </c>
      <c r="BD187" s="4">
        <v>1</v>
      </c>
      <c r="BE187" s="4" t="s">
        <v>455</v>
      </c>
      <c r="BF187" s="13" t="s">
        <v>456</v>
      </c>
      <c r="BG187" s="3"/>
    </row>
    <row r="188" spans="1:59" ht="28.5" hidden="1">
      <c r="A188" s="4">
        <v>185</v>
      </c>
      <c r="B188" s="4" t="s">
        <v>37</v>
      </c>
      <c r="C188" s="4" t="s">
        <v>7</v>
      </c>
      <c r="D188" s="4">
        <v>2018</v>
      </c>
      <c r="E188" s="45" t="s">
        <v>491</v>
      </c>
      <c r="F188" s="19" t="s">
        <v>64</v>
      </c>
      <c r="G188" s="4"/>
      <c r="L188" s="6" t="s">
        <v>256</v>
      </c>
      <c r="M188" s="4" t="s">
        <v>266</v>
      </c>
      <c r="N188" s="13" t="s">
        <v>263</v>
      </c>
      <c r="O188" s="4" t="s">
        <v>13</v>
      </c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 t="s">
        <v>13</v>
      </c>
      <c r="AC188" s="4"/>
      <c r="AD188" s="4"/>
      <c r="AE188" s="4"/>
      <c r="AF188" s="4"/>
      <c r="AG188" s="4"/>
      <c r="AH188" s="4"/>
      <c r="AI188" s="4" t="s">
        <v>13</v>
      </c>
      <c r="AJ188" s="4"/>
      <c r="AK188" s="4"/>
      <c r="AL188" s="4"/>
      <c r="AM188" s="4"/>
      <c r="AN188" s="4"/>
      <c r="AO188" s="4"/>
      <c r="AP188" s="4"/>
      <c r="AQ188" s="4"/>
      <c r="AR188" s="4"/>
      <c r="AS188" s="13"/>
      <c r="AT188" s="12" t="s">
        <v>355</v>
      </c>
      <c r="AU188" s="4" t="s">
        <v>368</v>
      </c>
      <c r="AV188" s="4" t="s">
        <v>684</v>
      </c>
      <c r="AW188" s="4" t="s">
        <v>687</v>
      </c>
      <c r="AX188" s="4" t="s">
        <v>690</v>
      </c>
      <c r="AY188" s="4" t="s">
        <v>371</v>
      </c>
      <c r="AZ188" s="13" t="s">
        <v>14</v>
      </c>
      <c r="BA188" s="4" t="s">
        <v>268</v>
      </c>
      <c r="BB188" s="4" t="s">
        <v>375</v>
      </c>
      <c r="BC188" s="13" t="s">
        <v>400</v>
      </c>
      <c r="BD188" s="4">
        <v>1</v>
      </c>
      <c r="BE188" s="4" t="s">
        <v>455</v>
      </c>
      <c r="BF188" s="13" t="s">
        <v>456</v>
      </c>
      <c r="BG188" s="3"/>
    </row>
    <row r="189" spans="1:59" ht="42.75" hidden="1">
      <c r="A189" s="4">
        <v>186</v>
      </c>
      <c r="B189" s="4" t="s">
        <v>37</v>
      </c>
      <c r="C189" s="4" t="s">
        <v>7</v>
      </c>
      <c r="D189" s="4">
        <v>2018</v>
      </c>
      <c r="E189" s="45" t="s">
        <v>492</v>
      </c>
      <c r="F189" s="19" t="s">
        <v>64</v>
      </c>
      <c r="G189" s="4"/>
      <c r="L189" s="6" t="s">
        <v>256</v>
      </c>
      <c r="M189" s="4" t="s">
        <v>266</v>
      </c>
      <c r="N189" s="13" t="s">
        <v>263</v>
      </c>
      <c r="O189" s="4" t="s">
        <v>13</v>
      </c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 t="s">
        <v>13</v>
      </c>
      <c r="AC189" s="4"/>
      <c r="AD189" s="4"/>
      <c r="AE189" s="4"/>
      <c r="AF189" s="4"/>
      <c r="AG189" s="4"/>
      <c r="AH189" s="4"/>
      <c r="AI189" s="4" t="s">
        <v>13</v>
      </c>
      <c r="AJ189" s="4"/>
      <c r="AK189" s="4"/>
      <c r="AL189" s="4"/>
      <c r="AM189" s="4"/>
      <c r="AN189" s="4"/>
      <c r="AO189" s="4"/>
      <c r="AP189" s="4"/>
      <c r="AQ189" s="4"/>
      <c r="AR189" s="4"/>
      <c r="AS189" s="13"/>
      <c r="AT189" s="12" t="s">
        <v>355</v>
      </c>
      <c r="AU189" s="4" t="s">
        <v>368</v>
      </c>
      <c r="AV189" s="4" t="s">
        <v>684</v>
      </c>
      <c r="AW189" s="4" t="s">
        <v>687</v>
      </c>
      <c r="AX189" s="4" t="s">
        <v>690</v>
      </c>
      <c r="AY189" s="4" t="s">
        <v>371</v>
      </c>
      <c r="AZ189" s="13" t="s">
        <v>14</v>
      </c>
      <c r="BA189" s="4" t="s">
        <v>396</v>
      </c>
      <c r="BB189" s="4" t="s">
        <v>375</v>
      </c>
      <c r="BC189" s="13" t="s">
        <v>436</v>
      </c>
      <c r="BD189" s="4">
        <v>2</v>
      </c>
      <c r="BE189" s="4" t="s">
        <v>457</v>
      </c>
      <c r="BF189" s="13" t="s">
        <v>456</v>
      </c>
      <c r="BG189" s="3"/>
    </row>
    <row r="190" spans="1:59" ht="28.5" hidden="1">
      <c r="A190" s="4">
        <v>187</v>
      </c>
      <c r="B190" s="4" t="s">
        <v>37</v>
      </c>
      <c r="C190" s="4" t="s">
        <v>7</v>
      </c>
      <c r="D190" s="4">
        <v>2018</v>
      </c>
      <c r="E190" s="46" t="s">
        <v>493</v>
      </c>
      <c r="F190" s="19" t="s">
        <v>64</v>
      </c>
      <c r="G190" s="4"/>
      <c r="L190" s="6" t="s">
        <v>256</v>
      </c>
      <c r="M190" s="4" t="s">
        <v>266</v>
      </c>
      <c r="N190" s="13" t="s">
        <v>263</v>
      </c>
      <c r="O190" s="4" t="s">
        <v>13</v>
      </c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 t="s">
        <v>13</v>
      </c>
      <c r="AC190" s="4"/>
      <c r="AD190" s="4"/>
      <c r="AE190" s="4"/>
      <c r="AF190" s="4"/>
      <c r="AG190" s="4"/>
      <c r="AH190" s="4"/>
      <c r="AI190" s="4" t="s">
        <v>13</v>
      </c>
      <c r="AJ190" s="4"/>
      <c r="AK190" s="4"/>
      <c r="AL190" s="4"/>
      <c r="AM190" s="4"/>
      <c r="AN190" s="4"/>
      <c r="AO190" s="4"/>
      <c r="AP190" s="4"/>
      <c r="AQ190" s="4"/>
      <c r="AR190" s="4"/>
      <c r="AS190" s="13"/>
      <c r="AT190" s="12" t="s">
        <v>355</v>
      </c>
      <c r="AU190" s="4" t="s">
        <v>368</v>
      </c>
      <c r="AV190" s="4" t="s">
        <v>684</v>
      </c>
      <c r="AW190" s="4" t="s">
        <v>687</v>
      </c>
      <c r="AX190" s="4" t="s">
        <v>690</v>
      </c>
      <c r="AY190" s="4" t="s">
        <v>371</v>
      </c>
      <c r="AZ190" s="13" t="s">
        <v>14</v>
      </c>
      <c r="BA190" s="6" t="s">
        <v>268</v>
      </c>
      <c r="BB190" s="4" t="s">
        <v>375</v>
      </c>
      <c r="BC190" s="13" t="s">
        <v>400</v>
      </c>
      <c r="BD190" s="4">
        <v>1</v>
      </c>
      <c r="BE190" s="4" t="s">
        <v>455</v>
      </c>
      <c r="BF190" s="13" t="s">
        <v>456</v>
      </c>
      <c r="BG190" s="3"/>
    </row>
    <row r="191" spans="1:59" ht="42.75" hidden="1">
      <c r="A191" s="4">
        <v>188</v>
      </c>
      <c r="B191" s="4" t="s">
        <v>37</v>
      </c>
      <c r="C191" s="4" t="s">
        <v>7</v>
      </c>
      <c r="D191" s="4">
        <v>2019</v>
      </c>
      <c r="E191" s="1" t="s">
        <v>467</v>
      </c>
      <c r="F191" s="19" t="s">
        <v>64</v>
      </c>
      <c r="G191" s="4"/>
      <c r="L191" s="6" t="s">
        <v>252</v>
      </c>
      <c r="M191" s="4" t="s">
        <v>266</v>
      </c>
      <c r="N191" s="13" t="s">
        <v>263</v>
      </c>
      <c r="O191" s="4"/>
      <c r="P191" s="4" t="s">
        <v>13</v>
      </c>
      <c r="Q191" s="4"/>
      <c r="R191" s="4"/>
      <c r="S191" s="4"/>
      <c r="T191" s="4"/>
      <c r="U191" s="4"/>
      <c r="V191" s="4"/>
      <c r="W191" s="4"/>
      <c r="X191" s="4" t="s">
        <v>13</v>
      </c>
      <c r="Y191" s="4"/>
      <c r="Z191" s="4" t="s">
        <v>13</v>
      </c>
      <c r="AA191" s="4"/>
      <c r="AB191" s="4"/>
      <c r="AC191" s="4"/>
      <c r="AD191" s="4" t="s">
        <v>13</v>
      </c>
      <c r="AE191" s="4"/>
      <c r="AF191" s="4"/>
      <c r="AG191" s="4"/>
      <c r="AH191" s="4" t="s">
        <v>13</v>
      </c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13"/>
      <c r="AT191" s="12" t="s">
        <v>355</v>
      </c>
      <c r="AU191" s="4" t="s">
        <v>368</v>
      </c>
      <c r="AV191" s="4" t="s">
        <v>684</v>
      </c>
      <c r="AW191" s="4" t="s">
        <v>687</v>
      </c>
      <c r="AX191" s="4" t="s">
        <v>690</v>
      </c>
      <c r="AY191" s="4" t="s">
        <v>373</v>
      </c>
      <c r="AZ191" s="13" t="s">
        <v>14</v>
      </c>
      <c r="BA191" s="4" t="s">
        <v>268</v>
      </c>
      <c r="BB191" s="4" t="s">
        <v>375</v>
      </c>
      <c r="BC191" s="13" t="s">
        <v>436</v>
      </c>
      <c r="BD191" s="4">
        <v>1</v>
      </c>
      <c r="BE191" s="4" t="s">
        <v>455</v>
      </c>
      <c r="BF191" s="13" t="s">
        <v>456</v>
      </c>
      <c r="BG191" s="3"/>
    </row>
    <row r="192" spans="1:59" ht="42.75" hidden="1">
      <c r="A192" s="4">
        <v>189</v>
      </c>
      <c r="B192" s="4" t="s">
        <v>37</v>
      </c>
      <c r="C192" s="4" t="s">
        <v>7</v>
      </c>
      <c r="D192" s="4">
        <v>2019</v>
      </c>
      <c r="E192" s="1" t="s">
        <v>468</v>
      </c>
      <c r="F192" s="19" t="s">
        <v>64</v>
      </c>
      <c r="G192" s="4"/>
      <c r="L192" s="6" t="s">
        <v>252</v>
      </c>
      <c r="M192" s="4" t="s">
        <v>266</v>
      </c>
      <c r="N192" s="13" t="s">
        <v>263</v>
      </c>
      <c r="O192" s="4"/>
      <c r="P192" s="4" t="s">
        <v>13</v>
      </c>
      <c r="Q192" s="4"/>
      <c r="R192" s="4"/>
      <c r="S192" s="4"/>
      <c r="T192" s="4"/>
      <c r="U192" s="4"/>
      <c r="V192" s="4"/>
      <c r="W192" s="4"/>
      <c r="X192" s="4" t="s">
        <v>13</v>
      </c>
      <c r="Y192" s="4"/>
      <c r="Z192" s="4" t="s">
        <v>13</v>
      </c>
      <c r="AA192" s="4"/>
      <c r="AB192" s="4"/>
      <c r="AC192" s="4"/>
      <c r="AD192" s="4" t="s">
        <v>13</v>
      </c>
      <c r="AE192" s="4"/>
      <c r="AF192" s="4"/>
      <c r="AG192" s="4"/>
      <c r="AH192" s="4" t="s">
        <v>13</v>
      </c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13"/>
      <c r="AT192" s="12" t="s">
        <v>355</v>
      </c>
      <c r="AU192" s="4" t="s">
        <v>368</v>
      </c>
      <c r="AV192" s="4" t="s">
        <v>684</v>
      </c>
      <c r="AW192" s="4" t="s">
        <v>687</v>
      </c>
      <c r="AX192" s="4" t="s">
        <v>690</v>
      </c>
      <c r="AY192" s="4" t="s">
        <v>371</v>
      </c>
      <c r="AZ192" s="13" t="s">
        <v>14</v>
      </c>
      <c r="BA192" s="4" t="s">
        <v>268</v>
      </c>
      <c r="BB192" s="4" t="s">
        <v>375</v>
      </c>
      <c r="BC192" s="13" t="s">
        <v>436</v>
      </c>
      <c r="BD192" s="4">
        <v>1</v>
      </c>
      <c r="BE192" s="4" t="s">
        <v>455</v>
      </c>
      <c r="BF192" s="13" t="s">
        <v>456</v>
      </c>
      <c r="BG192" s="3"/>
    </row>
    <row r="193" spans="1:59" ht="42.75" hidden="1">
      <c r="A193" s="4">
        <v>190</v>
      </c>
      <c r="B193" s="4" t="s">
        <v>37</v>
      </c>
      <c r="C193" s="4" t="s">
        <v>7</v>
      </c>
      <c r="D193" s="4">
        <v>2019</v>
      </c>
      <c r="E193" s="1" t="s">
        <v>469</v>
      </c>
      <c r="F193" s="19" t="s">
        <v>64</v>
      </c>
      <c r="G193" s="4"/>
      <c r="L193" s="6" t="s">
        <v>252</v>
      </c>
      <c r="M193" s="4" t="s">
        <v>266</v>
      </c>
      <c r="N193" s="13" t="s">
        <v>263</v>
      </c>
      <c r="O193" s="4"/>
      <c r="P193" s="4" t="s">
        <v>13</v>
      </c>
      <c r="Q193" s="4"/>
      <c r="R193" s="4"/>
      <c r="S193" s="4"/>
      <c r="T193" s="4" t="s">
        <v>13</v>
      </c>
      <c r="U193" s="4"/>
      <c r="V193" s="4"/>
      <c r="W193" s="4"/>
      <c r="X193" s="4" t="s">
        <v>13</v>
      </c>
      <c r="Y193" s="4"/>
      <c r="Z193" s="4" t="s">
        <v>13</v>
      </c>
      <c r="AA193" s="4"/>
      <c r="AB193" s="4"/>
      <c r="AC193" s="4"/>
      <c r="AD193" s="4" t="s">
        <v>13</v>
      </c>
      <c r="AE193" s="4"/>
      <c r="AF193" s="4"/>
      <c r="AG193" s="4"/>
      <c r="AH193" s="4" t="s">
        <v>13</v>
      </c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13"/>
      <c r="AT193" s="12" t="s">
        <v>355</v>
      </c>
      <c r="AU193" s="4" t="s">
        <v>368</v>
      </c>
      <c r="AV193" s="4" t="s">
        <v>684</v>
      </c>
      <c r="AW193" s="4" t="s">
        <v>687</v>
      </c>
      <c r="AX193" s="4" t="s">
        <v>690</v>
      </c>
      <c r="AY193" s="4" t="s">
        <v>371</v>
      </c>
      <c r="AZ193" s="13" t="s">
        <v>14</v>
      </c>
      <c r="BA193" s="4" t="s">
        <v>268</v>
      </c>
      <c r="BB193" s="4" t="s">
        <v>375</v>
      </c>
      <c r="BC193" s="13" t="s">
        <v>436</v>
      </c>
      <c r="BD193" s="4">
        <v>1</v>
      </c>
      <c r="BE193" s="4" t="s">
        <v>455</v>
      </c>
      <c r="BF193" s="13" t="s">
        <v>456</v>
      </c>
      <c r="BG193" s="3"/>
    </row>
    <row r="194" spans="1:59" ht="42.75" hidden="1">
      <c r="A194" s="4">
        <v>191</v>
      </c>
      <c r="B194" s="4" t="s">
        <v>37</v>
      </c>
      <c r="C194" s="4" t="s">
        <v>7</v>
      </c>
      <c r="D194" s="4">
        <v>2019</v>
      </c>
      <c r="E194" s="1" t="s">
        <v>470</v>
      </c>
      <c r="F194" s="19" t="s">
        <v>64</v>
      </c>
      <c r="G194" s="4"/>
      <c r="L194" s="6" t="s">
        <v>252</v>
      </c>
      <c r="M194" s="4" t="s">
        <v>266</v>
      </c>
      <c r="N194" s="13" t="s">
        <v>263</v>
      </c>
      <c r="O194" s="4"/>
      <c r="P194" s="4" t="s">
        <v>13</v>
      </c>
      <c r="Q194" s="4"/>
      <c r="R194" s="4"/>
      <c r="S194" s="4"/>
      <c r="T194" s="4"/>
      <c r="U194" s="4"/>
      <c r="V194" s="4"/>
      <c r="W194" s="4"/>
      <c r="X194" s="4" t="s">
        <v>13</v>
      </c>
      <c r="Y194" s="4"/>
      <c r="Z194" s="4" t="s">
        <v>13</v>
      </c>
      <c r="AA194" s="4"/>
      <c r="AB194" s="4"/>
      <c r="AC194" s="4"/>
      <c r="AD194" s="4" t="s">
        <v>13</v>
      </c>
      <c r="AE194" s="4"/>
      <c r="AF194" s="4"/>
      <c r="AG194" s="4"/>
      <c r="AH194" s="4" t="s">
        <v>13</v>
      </c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13"/>
      <c r="AT194" s="12" t="s">
        <v>355</v>
      </c>
      <c r="AU194" s="4" t="s">
        <v>368</v>
      </c>
      <c r="AV194" s="4" t="s">
        <v>684</v>
      </c>
      <c r="AW194" s="4" t="s">
        <v>687</v>
      </c>
      <c r="AX194" s="4" t="s">
        <v>690</v>
      </c>
      <c r="AY194" s="4" t="s">
        <v>371</v>
      </c>
      <c r="AZ194" s="13" t="s">
        <v>14</v>
      </c>
      <c r="BA194" s="4" t="s">
        <v>268</v>
      </c>
      <c r="BB194" s="4" t="s">
        <v>375</v>
      </c>
      <c r="BC194" s="13" t="s">
        <v>436</v>
      </c>
      <c r="BD194" s="4">
        <v>3</v>
      </c>
      <c r="BE194" s="4" t="s">
        <v>457</v>
      </c>
      <c r="BF194" s="13" t="s">
        <v>456</v>
      </c>
      <c r="BG194" s="3"/>
    </row>
    <row r="195" spans="1:59" ht="28.5" hidden="1">
      <c r="A195" s="4">
        <v>192</v>
      </c>
      <c r="B195" s="4" t="s">
        <v>37</v>
      </c>
      <c r="C195" s="4" t="s">
        <v>7</v>
      </c>
      <c r="D195" s="4">
        <v>2019</v>
      </c>
      <c r="E195" s="1" t="s">
        <v>472</v>
      </c>
      <c r="F195" s="19" t="s">
        <v>64</v>
      </c>
      <c r="G195" s="4"/>
      <c r="L195" s="6" t="s">
        <v>252</v>
      </c>
      <c r="M195" s="4" t="s">
        <v>266</v>
      </c>
      <c r="N195" s="13" t="s">
        <v>263</v>
      </c>
      <c r="O195" s="4"/>
      <c r="P195" s="4"/>
      <c r="Q195" s="4"/>
      <c r="R195" s="4" t="s">
        <v>13</v>
      </c>
      <c r="S195" s="4" t="s">
        <v>13</v>
      </c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 t="s">
        <v>13</v>
      </c>
      <c r="AE195" s="4"/>
      <c r="AF195" s="4"/>
      <c r="AG195" s="4"/>
      <c r="AH195" s="4"/>
      <c r="AI195" s="4"/>
      <c r="AJ195" s="4"/>
      <c r="AK195" s="4" t="s">
        <v>13</v>
      </c>
      <c r="AL195" s="4"/>
      <c r="AM195" s="4"/>
      <c r="AN195" s="4"/>
      <c r="AO195" s="4"/>
      <c r="AP195" s="4"/>
      <c r="AQ195" s="4"/>
      <c r="AR195" s="4"/>
      <c r="AS195" s="13"/>
      <c r="AT195" s="12" t="s">
        <v>562</v>
      </c>
      <c r="AU195" s="4" t="s">
        <v>368</v>
      </c>
      <c r="AV195" s="4" t="s">
        <v>684</v>
      </c>
      <c r="AW195" s="4" t="s">
        <v>688</v>
      </c>
      <c r="AX195" s="4" t="s">
        <v>690</v>
      </c>
      <c r="AY195" s="4" t="s">
        <v>371</v>
      </c>
      <c r="AZ195" s="13" t="s">
        <v>14</v>
      </c>
      <c r="BA195" s="4" t="s">
        <v>268</v>
      </c>
      <c r="BB195" s="4" t="s">
        <v>375</v>
      </c>
      <c r="BC195" s="13" t="s">
        <v>433</v>
      </c>
      <c r="BD195" s="4">
        <v>2</v>
      </c>
      <c r="BE195" s="4" t="s">
        <v>457</v>
      </c>
      <c r="BF195" s="13" t="s">
        <v>456</v>
      </c>
      <c r="BG195" s="3"/>
    </row>
    <row r="196" spans="1:59" ht="42.75" hidden="1">
      <c r="A196" s="4">
        <v>193</v>
      </c>
      <c r="B196" s="4" t="s">
        <v>37</v>
      </c>
      <c r="C196" s="4" t="s">
        <v>7</v>
      </c>
      <c r="D196" s="4">
        <v>2019</v>
      </c>
      <c r="E196" s="44" t="s">
        <v>475</v>
      </c>
      <c r="F196" s="19" t="s">
        <v>64</v>
      </c>
      <c r="G196" s="4"/>
      <c r="L196" s="6" t="s">
        <v>252</v>
      </c>
      <c r="M196" s="4" t="s">
        <v>266</v>
      </c>
      <c r="N196" s="13" t="s">
        <v>263</v>
      </c>
      <c r="O196" s="4"/>
      <c r="P196" s="4" t="s">
        <v>13</v>
      </c>
      <c r="Q196" s="4"/>
      <c r="R196" s="4"/>
      <c r="S196" s="4"/>
      <c r="T196" s="4"/>
      <c r="U196" s="4"/>
      <c r="V196" s="4"/>
      <c r="W196" s="4"/>
      <c r="X196" s="4" t="s">
        <v>13</v>
      </c>
      <c r="Y196" s="4" t="s">
        <v>13</v>
      </c>
      <c r="Z196" s="4" t="s">
        <v>13</v>
      </c>
      <c r="AA196" s="4"/>
      <c r="AB196" s="4"/>
      <c r="AC196" s="4"/>
      <c r="AD196" s="4" t="s">
        <v>13</v>
      </c>
      <c r="AE196" s="4"/>
      <c r="AF196" s="4"/>
      <c r="AG196" s="4"/>
      <c r="AH196" s="4" t="s">
        <v>13</v>
      </c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13"/>
      <c r="AT196" s="12" t="s">
        <v>355</v>
      </c>
      <c r="AU196" s="4" t="s">
        <v>368</v>
      </c>
      <c r="AV196" s="4" t="s">
        <v>684</v>
      </c>
      <c r="AW196" s="4" t="s">
        <v>687</v>
      </c>
      <c r="AX196" s="4" t="s">
        <v>690</v>
      </c>
      <c r="AY196" s="4" t="s">
        <v>371</v>
      </c>
      <c r="AZ196" s="13" t="s">
        <v>14</v>
      </c>
      <c r="BA196" s="4" t="s">
        <v>268</v>
      </c>
      <c r="BB196" s="4" t="s">
        <v>375</v>
      </c>
      <c r="BC196" s="13" t="s">
        <v>436</v>
      </c>
      <c r="BD196" s="4">
        <v>2</v>
      </c>
      <c r="BE196" s="4" t="s">
        <v>457</v>
      </c>
      <c r="BF196" s="13" t="s">
        <v>456</v>
      </c>
      <c r="BG196" s="3"/>
    </row>
    <row r="197" spans="1:59" ht="42.75" hidden="1">
      <c r="A197" s="4">
        <v>194</v>
      </c>
      <c r="B197" s="4" t="s">
        <v>37</v>
      </c>
      <c r="C197" s="4" t="s">
        <v>7</v>
      </c>
      <c r="D197" s="4">
        <v>2019</v>
      </c>
      <c r="E197" s="1" t="s">
        <v>478</v>
      </c>
      <c r="F197" s="19" t="s">
        <v>64</v>
      </c>
      <c r="G197" s="4"/>
      <c r="L197" s="6" t="s">
        <v>252</v>
      </c>
      <c r="M197" s="4" t="s">
        <v>266</v>
      </c>
      <c r="N197" s="13" t="s">
        <v>263</v>
      </c>
      <c r="O197" s="4"/>
      <c r="P197" s="4" t="s">
        <v>13</v>
      </c>
      <c r="Q197" s="4"/>
      <c r="R197" s="4"/>
      <c r="S197" s="4"/>
      <c r="T197" s="4"/>
      <c r="U197" s="4"/>
      <c r="V197" s="4"/>
      <c r="W197" s="4"/>
      <c r="X197" s="4" t="s">
        <v>13</v>
      </c>
      <c r="Y197" s="4"/>
      <c r="Z197" s="4" t="s">
        <v>13</v>
      </c>
      <c r="AA197" s="4"/>
      <c r="AB197" s="4"/>
      <c r="AC197" s="4"/>
      <c r="AD197" s="4" t="s">
        <v>13</v>
      </c>
      <c r="AE197" s="4"/>
      <c r="AF197" s="4"/>
      <c r="AG197" s="4"/>
      <c r="AH197" s="4" t="s">
        <v>13</v>
      </c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13"/>
      <c r="AT197" s="12" t="s">
        <v>355</v>
      </c>
      <c r="AU197" s="4" t="s">
        <v>368</v>
      </c>
      <c r="AV197" s="4" t="s">
        <v>684</v>
      </c>
      <c r="AW197" s="4" t="s">
        <v>687</v>
      </c>
      <c r="AX197" s="4" t="s">
        <v>690</v>
      </c>
      <c r="AY197" s="4" t="s">
        <v>371</v>
      </c>
      <c r="AZ197" s="13" t="s">
        <v>14</v>
      </c>
      <c r="BA197" s="4" t="s">
        <v>268</v>
      </c>
      <c r="BB197" s="4" t="s">
        <v>375</v>
      </c>
      <c r="BC197" s="13" t="s">
        <v>436</v>
      </c>
      <c r="BD197" s="4">
        <v>1</v>
      </c>
      <c r="BE197" s="4" t="s">
        <v>455</v>
      </c>
      <c r="BF197" s="13" t="s">
        <v>456</v>
      </c>
      <c r="BG197" s="3"/>
    </row>
    <row r="198" spans="1:59" ht="28.5" hidden="1">
      <c r="A198" s="4">
        <v>195</v>
      </c>
      <c r="B198" s="4" t="s">
        <v>37</v>
      </c>
      <c r="C198" s="4" t="s">
        <v>7</v>
      </c>
      <c r="D198" s="4">
        <v>2019</v>
      </c>
      <c r="E198" s="1" t="s">
        <v>482</v>
      </c>
      <c r="F198" s="19" t="s">
        <v>64</v>
      </c>
      <c r="G198" s="4"/>
      <c r="L198" s="6" t="s">
        <v>252</v>
      </c>
      <c r="M198" s="4" t="s">
        <v>266</v>
      </c>
      <c r="N198" s="13" t="s">
        <v>263</v>
      </c>
      <c r="O198" s="4"/>
      <c r="P198" s="4"/>
      <c r="Q198" s="4"/>
      <c r="R198" s="4" t="s">
        <v>13</v>
      </c>
      <c r="S198" s="4" t="s">
        <v>13</v>
      </c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 t="s">
        <v>13</v>
      </c>
      <c r="AE198" s="4"/>
      <c r="AF198" s="4"/>
      <c r="AG198" s="4"/>
      <c r="AH198" s="4"/>
      <c r="AI198" s="4"/>
      <c r="AJ198" s="4"/>
      <c r="AK198" s="4" t="s">
        <v>13</v>
      </c>
      <c r="AL198" s="4"/>
      <c r="AM198" s="4"/>
      <c r="AN198" s="4"/>
      <c r="AO198" s="4"/>
      <c r="AP198" s="4"/>
      <c r="AQ198" s="4"/>
      <c r="AR198" s="4"/>
      <c r="AS198" s="13"/>
      <c r="AT198" s="12" t="s">
        <v>562</v>
      </c>
      <c r="AU198" s="4" t="s">
        <v>368</v>
      </c>
      <c r="AV198" s="4" t="s">
        <v>684</v>
      </c>
      <c r="AW198" s="4" t="s">
        <v>687</v>
      </c>
      <c r="AX198" s="4" t="s">
        <v>690</v>
      </c>
      <c r="AY198" s="4" t="s">
        <v>373</v>
      </c>
      <c r="AZ198" s="13" t="s">
        <v>14</v>
      </c>
      <c r="BA198" s="4" t="s">
        <v>268</v>
      </c>
      <c r="BB198" s="4" t="s">
        <v>375</v>
      </c>
      <c r="BC198" s="13" t="s">
        <v>564</v>
      </c>
      <c r="BD198" s="4">
        <v>1</v>
      </c>
      <c r="BE198" s="4" t="s">
        <v>455</v>
      </c>
      <c r="BF198" s="13" t="s">
        <v>456</v>
      </c>
      <c r="BG198" s="3"/>
    </row>
    <row r="199" spans="1:59" ht="28.5" hidden="1">
      <c r="A199" s="4">
        <v>196</v>
      </c>
      <c r="B199" s="4" t="s">
        <v>37</v>
      </c>
      <c r="C199" s="4" t="s">
        <v>7</v>
      </c>
      <c r="D199" s="4">
        <v>2019</v>
      </c>
      <c r="E199" s="1" t="s">
        <v>486</v>
      </c>
      <c r="F199" s="19" t="s">
        <v>64</v>
      </c>
      <c r="G199" s="4"/>
      <c r="L199" s="6" t="s">
        <v>252</v>
      </c>
      <c r="M199" s="4" t="s">
        <v>266</v>
      </c>
      <c r="N199" s="13" t="s">
        <v>263</v>
      </c>
      <c r="O199" s="4"/>
      <c r="P199" s="4"/>
      <c r="Q199" s="4"/>
      <c r="R199" s="4" t="s">
        <v>13</v>
      </c>
      <c r="S199" s="4" t="s">
        <v>13</v>
      </c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 t="s">
        <v>13</v>
      </c>
      <c r="AE199" s="4"/>
      <c r="AF199" s="4"/>
      <c r="AG199" s="4"/>
      <c r="AH199" s="4"/>
      <c r="AI199" s="4"/>
      <c r="AJ199" s="4"/>
      <c r="AK199" s="4" t="s">
        <v>13</v>
      </c>
      <c r="AL199" s="4"/>
      <c r="AM199" s="4"/>
      <c r="AN199" s="4"/>
      <c r="AO199" s="4"/>
      <c r="AP199" s="4"/>
      <c r="AQ199" s="4"/>
      <c r="AR199" s="4"/>
      <c r="AS199" s="13"/>
      <c r="AT199" s="12" t="s">
        <v>562</v>
      </c>
      <c r="AU199" s="4" t="s">
        <v>368</v>
      </c>
      <c r="AV199" s="4" t="s">
        <v>684</v>
      </c>
      <c r="AW199" s="4" t="s">
        <v>687</v>
      </c>
      <c r="AX199" s="4" t="s">
        <v>690</v>
      </c>
      <c r="AY199" s="4" t="s">
        <v>371</v>
      </c>
      <c r="AZ199" s="13" t="s">
        <v>14</v>
      </c>
      <c r="BA199" s="4" t="s">
        <v>268</v>
      </c>
      <c r="BB199" s="4" t="s">
        <v>375</v>
      </c>
      <c r="BC199" s="13" t="s">
        <v>564</v>
      </c>
      <c r="BD199" s="4">
        <v>1</v>
      </c>
      <c r="BE199" s="4" t="s">
        <v>455</v>
      </c>
      <c r="BF199" s="13" t="s">
        <v>456</v>
      </c>
      <c r="BG199" s="3"/>
    </row>
    <row r="200" spans="1:59" ht="28.5" hidden="1">
      <c r="A200" s="4">
        <v>197</v>
      </c>
      <c r="B200" s="4" t="s">
        <v>37</v>
      </c>
      <c r="C200" s="4" t="s">
        <v>7</v>
      </c>
      <c r="D200" s="4">
        <v>2020</v>
      </c>
      <c r="E200" s="1" t="s">
        <v>494</v>
      </c>
      <c r="F200" s="19" t="s">
        <v>64</v>
      </c>
      <c r="G200" s="4"/>
      <c r="L200" s="6" t="s">
        <v>256</v>
      </c>
      <c r="M200" s="4" t="s">
        <v>266</v>
      </c>
      <c r="N200" s="13" t="s">
        <v>263</v>
      </c>
      <c r="O200" s="4"/>
      <c r="P200" s="4"/>
      <c r="Q200" s="4" t="s">
        <v>13</v>
      </c>
      <c r="R200" s="4"/>
      <c r="S200" s="4"/>
      <c r="T200" s="4" t="s">
        <v>13</v>
      </c>
      <c r="U200" s="4"/>
      <c r="V200" s="4"/>
      <c r="W200" s="4"/>
      <c r="X200" s="4" t="s">
        <v>13</v>
      </c>
      <c r="Y200" s="4"/>
      <c r="Z200" s="4"/>
      <c r="AA200" s="4"/>
      <c r="AB200" s="4" t="s">
        <v>13</v>
      </c>
      <c r="AC200" s="4"/>
      <c r="AD200" s="4" t="s">
        <v>13</v>
      </c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 t="s">
        <v>13</v>
      </c>
      <c r="AR200" s="4"/>
      <c r="AS200" s="13"/>
      <c r="AT200" s="4" t="s">
        <v>351</v>
      </c>
      <c r="AU200" s="4" t="s">
        <v>368</v>
      </c>
      <c r="AV200" s="4" t="s">
        <v>684</v>
      </c>
      <c r="AW200" s="4" t="s">
        <v>687</v>
      </c>
      <c r="AX200" s="4" t="s">
        <v>690</v>
      </c>
      <c r="AY200" s="4" t="s">
        <v>371</v>
      </c>
      <c r="AZ200" s="13" t="s">
        <v>14</v>
      </c>
      <c r="BA200" s="4" t="s">
        <v>268</v>
      </c>
      <c r="BB200" s="4" t="s">
        <v>375</v>
      </c>
      <c r="BC200" s="13" t="s">
        <v>564</v>
      </c>
      <c r="BD200" s="4">
        <v>2</v>
      </c>
      <c r="BE200" s="4" t="s">
        <v>455</v>
      </c>
      <c r="BF200" s="13" t="s">
        <v>456</v>
      </c>
      <c r="BG200" s="3"/>
    </row>
    <row r="201" spans="1:59" ht="28.5" hidden="1">
      <c r="A201" s="4">
        <v>198</v>
      </c>
      <c r="B201" s="4" t="s">
        <v>37</v>
      </c>
      <c r="C201" s="4" t="s">
        <v>7</v>
      </c>
      <c r="D201" s="4">
        <v>2020</v>
      </c>
      <c r="E201" s="1" t="s">
        <v>495</v>
      </c>
      <c r="F201" s="19" t="s">
        <v>64</v>
      </c>
      <c r="G201" s="4"/>
      <c r="L201" s="6" t="s">
        <v>256</v>
      </c>
      <c r="M201" s="4" t="s">
        <v>266</v>
      </c>
      <c r="N201" s="13" t="s">
        <v>263</v>
      </c>
      <c r="O201" s="4"/>
      <c r="P201" s="4"/>
      <c r="Q201" s="4" t="s">
        <v>13</v>
      </c>
      <c r="R201" s="4"/>
      <c r="S201" s="4"/>
      <c r="T201" s="4" t="s">
        <v>13</v>
      </c>
      <c r="U201" s="4"/>
      <c r="V201" s="4"/>
      <c r="W201" s="4"/>
      <c r="X201" s="4"/>
      <c r="Y201" s="4"/>
      <c r="Z201" s="4"/>
      <c r="AA201" s="4"/>
      <c r="AB201" s="4" t="s">
        <v>13</v>
      </c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 t="s">
        <v>13</v>
      </c>
      <c r="AR201" s="4"/>
      <c r="AS201" s="13"/>
      <c r="AT201" s="4" t="s">
        <v>351</v>
      </c>
      <c r="AU201" s="4" t="s">
        <v>368</v>
      </c>
      <c r="AV201" s="4" t="s">
        <v>684</v>
      </c>
      <c r="AW201" s="4" t="s">
        <v>687</v>
      </c>
      <c r="AX201" s="4" t="s">
        <v>690</v>
      </c>
      <c r="AY201" s="4" t="s">
        <v>371</v>
      </c>
      <c r="AZ201" s="13" t="s">
        <v>14</v>
      </c>
      <c r="BA201" s="4" t="s">
        <v>268</v>
      </c>
      <c r="BB201" s="4" t="s">
        <v>375</v>
      </c>
      <c r="BC201" s="13" t="s">
        <v>564</v>
      </c>
      <c r="BD201" s="4">
        <v>1</v>
      </c>
      <c r="BE201" s="4" t="s">
        <v>455</v>
      </c>
      <c r="BF201" s="13" t="s">
        <v>456</v>
      </c>
      <c r="BG201" s="3"/>
    </row>
    <row r="202" spans="1:59" ht="42.75" hidden="1">
      <c r="A202" s="4">
        <v>199</v>
      </c>
      <c r="B202" s="4" t="s">
        <v>37</v>
      </c>
      <c r="C202" s="4" t="s">
        <v>7</v>
      </c>
      <c r="D202" s="4">
        <v>2020</v>
      </c>
      <c r="E202" s="1" t="s">
        <v>496</v>
      </c>
      <c r="F202" s="19" t="s">
        <v>64</v>
      </c>
      <c r="G202" s="4"/>
      <c r="L202" s="6" t="s">
        <v>256</v>
      </c>
      <c r="M202" s="4" t="s">
        <v>266</v>
      </c>
      <c r="N202" s="13" t="s">
        <v>263</v>
      </c>
      <c r="O202" s="4"/>
      <c r="P202" s="4"/>
      <c r="Q202" s="4" t="s">
        <v>13</v>
      </c>
      <c r="R202" s="4"/>
      <c r="S202" s="4"/>
      <c r="T202" s="4" t="s">
        <v>13</v>
      </c>
      <c r="U202" s="4"/>
      <c r="V202" s="4"/>
      <c r="W202" s="4"/>
      <c r="X202" s="4"/>
      <c r="Y202" s="4"/>
      <c r="Z202" s="4"/>
      <c r="AA202" s="4"/>
      <c r="AB202" s="4" t="s">
        <v>13</v>
      </c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 t="s">
        <v>13</v>
      </c>
      <c r="AR202" s="4"/>
      <c r="AS202" s="13"/>
      <c r="AT202" s="4" t="s">
        <v>351</v>
      </c>
      <c r="AU202" s="4" t="s">
        <v>368</v>
      </c>
      <c r="AV202" s="4" t="s">
        <v>684</v>
      </c>
      <c r="AW202" s="4" t="s">
        <v>687</v>
      </c>
      <c r="AX202" s="4" t="s">
        <v>690</v>
      </c>
      <c r="AY202" s="4" t="s">
        <v>373</v>
      </c>
      <c r="AZ202" s="13" t="s">
        <v>14</v>
      </c>
      <c r="BA202" s="4" t="s">
        <v>268</v>
      </c>
      <c r="BB202" s="4" t="s">
        <v>375</v>
      </c>
      <c r="BC202" s="13" t="s">
        <v>436</v>
      </c>
      <c r="BD202" s="4">
        <v>1</v>
      </c>
      <c r="BE202" s="4" t="s">
        <v>455</v>
      </c>
      <c r="BF202" s="13" t="s">
        <v>456</v>
      </c>
      <c r="BG202" s="3"/>
    </row>
    <row r="203" spans="1:59" ht="28.5" hidden="1">
      <c r="A203" s="4">
        <v>200</v>
      </c>
      <c r="B203" s="4" t="s">
        <v>37</v>
      </c>
      <c r="C203" s="4" t="s">
        <v>7</v>
      </c>
      <c r="D203" s="4">
        <v>2020</v>
      </c>
      <c r="E203" s="1" t="s">
        <v>497</v>
      </c>
      <c r="F203" s="19" t="s">
        <v>64</v>
      </c>
      <c r="G203" s="4"/>
      <c r="L203" s="6" t="s">
        <v>256</v>
      </c>
      <c r="M203" s="4" t="s">
        <v>266</v>
      </c>
      <c r="N203" s="13" t="s">
        <v>263</v>
      </c>
      <c r="O203" s="4"/>
      <c r="P203" s="4"/>
      <c r="Q203" s="4" t="s">
        <v>13</v>
      </c>
      <c r="R203" s="4"/>
      <c r="S203" s="4"/>
      <c r="T203" s="4" t="s">
        <v>13</v>
      </c>
      <c r="U203" s="4"/>
      <c r="V203" s="4"/>
      <c r="W203" s="4"/>
      <c r="X203" s="4" t="s">
        <v>13</v>
      </c>
      <c r="Y203" s="4"/>
      <c r="Z203" s="4"/>
      <c r="AA203" s="4"/>
      <c r="AB203" s="4" t="s">
        <v>13</v>
      </c>
      <c r="AC203" s="4"/>
      <c r="AD203" s="4" t="s">
        <v>13</v>
      </c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 t="s">
        <v>13</v>
      </c>
      <c r="AR203" s="4"/>
      <c r="AS203" s="13"/>
      <c r="AT203" s="4" t="s">
        <v>351</v>
      </c>
      <c r="AU203" s="4" t="s">
        <v>368</v>
      </c>
      <c r="AV203" s="4" t="s">
        <v>684</v>
      </c>
      <c r="AW203" s="4" t="s">
        <v>687</v>
      </c>
      <c r="AX203" s="4" t="s">
        <v>690</v>
      </c>
      <c r="AY203" s="4" t="s">
        <v>371</v>
      </c>
      <c r="AZ203" s="13" t="s">
        <v>14</v>
      </c>
      <c r="BA203" s="4" t="s">
        <v>268</v>
      </c>
      <c r="BB203" s="4" t="s">
        <v>375</v>
      </c>
      <c r="BC203" s="13" t="s">
        <v>564</v>
      </c>
      <c r="BD203" s="4">
        <v>3</v>
      </c>
      <c r="BE203" s="4" t="s">
        <v>457</v>
      </c>
      <c r="BF203" s="13" t="s">
        <v>456</v>
      </c>
      <c r="BG203" s="3"/>
    </row>
    <row r="204" spans="1:59" ht="42.75" hidden="1">
      <c r="A204" s="4">
        <v>201</v>
      </c>
      <c r="B204" s="4" t="s">
        <v>37</v>
      </c>
      <c r="C204" s="4" t="s">
        <v>7</v>
      </c>
      <c r="D204" s="4">
        <v>2021</v>
      </c>
      <c r="E204" s="1" t="s">
        <v>498</v>
      </c>
      <c r="F204" s="19" t="s">
        <v>64</v>
      </c>
      <c r="G204" s="4"/>
      <c r="L204" s="6" t="s">
        <v>252</v>
      </c>
      <c r="M204" s="4" t="s">
        <v>266</v>
      </c>
      <c r="N204" s="13" t="s">
        <v>263</v>
      </c>
      <c r="O204" s="4"/>
      <c r="P204" s="4"/>
      <c r="Q204" s="4" t="s">
        <v>13</v>
      </c>
      <c r="R204" s="4"/>
      <c r="S204" s="4"/>
      <c r="T204" s="4"/>
      <c r="U204" s="4" t="s">
        <v>13</v>
      </c>
      <c r="V204" s="4"/>
      <c r="W204" s="4"/>
      <c r="X204" s="4"/>
      <c r="Y204" s="4" t="s">
        <v>13</v>
      </c>
      <c r="Z204" s="4"/>
      <c r="AA204" s="4"/>
      <c r="AB204" s="4"/>
      <c r="AC204" s="4"/>
      <c r="AD204" s="4"/>
      <c r="AE204" s="4"/>
      <c r="AF204" s="4"/>
      <c r="AG204" s="4"/>
      <c r="AH204" s="4" t="s">
        <v>13</v>
      </c>
      <c r="AI204" s="4"/>
      <c r="AJ204" s="4"/>
      <c r="AK204" s="4" t="s">
        <v>13</v>
      </c>
      <c r="AL204" s="4"/>
      <c r="AM204" s="4"/>
      <c r="AN204" s="4"/>
      <c r="AO204" s="4"/>
      <c r="AP204" s="4" t="s">
        <v>13</v>
      </c>
      <c r="AQ204" s="4"/>
      <c r="AR204" s="4"/>
      <c r="AS204" s="13"/>
      <c r="AT204" s="12" t="s">
        <v>352</v>
      </c>
      <c r="AU204" s="4" t="s">
        <v>368</v>
      </c>
      <c r="AV204" s="4" t="s">
        <v>684</v>
      </c>
      <c r="AW204" s="4" t="s">
        <v>687</v>
      </c>
      <c r="AX204" s="4" t="s">
        <v>690</v>
      </c>
      <c r="AY204" s="4" t="s">
        <v>373</v>
      </c>
      <c r="AZ204" s="13" t="s">
        <v>14</v>
      </c>
      <c r="BA204" s="4" t="s">
        <v>268</v>
      </c>
      <c r="BB204" s="4" t="s">
        <v>375</v>
      </c>
      <c r="BC204" s="13" t="s">
        <v>436</v>
      </c>
      <c r="BD204" s="4">
        <v>2</v>
      </c>
      <c r="BE204" s="4" t="s">
        <v>455</v>
      </c>
      <c r="BF204" s="13" t="s">
        <v>456</v>
      </c>
      <c r="BG204" s="3"/>
    </row>
    <row r="205" spans="1:59" ht="28.5" hidden="1">
      <c r="A205" s="4">
        <v>202</v>
      </c>
      <c r="B205" s="4" t="s">
        <v>37</v>
      </c>
      <c r="C205" s="4" t="s">
        <v>7</v>
      </c>
      <c r="D205" s="4">
        <v>2021</v>
      </c>
      <c r="E205" s="1" t="s">
        <v>499</v>
      </c>
      <c r="F205" s="19" t="s">
        <v>64</v>
      </c>
      <c r="G205" s="4"/>
      <c r="L205" s="6" t="s">
        <v>256</v>
      </c>
      <c r="M205" s="4" t="s">
        <v>266</v>
      </c>
      <c r="N205" s="13" t="s">
        <v>263</v>
      </c>
      <c r="O205" s="4"/>
      <c r="P205" s="4"/>
      <c r="Q205" s="4"/>
      <c r="R205" s="4" t="s">
        <v>13</v>
      </c>
      <c r="S205" s="4" t="s">
        <v>13</v>
      </c>
      <c r="T205" s="4" t="s">
        <v>13</v>
      </c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 t="s">
        <v>13</v>
      </c>
      <c r="AK205" s="4"/>
      <c r="AL205" s="4"/>
      <c r="AM205" s="4"/>
      <c r="AN205" s="4"/>
      <c r="AO205" s="4"/>
      <c r="AP205" s="4"/>
      <c r="AQ205" s="4"/>
      <c r="AR205" s="4"/>
      <c r="AS205" s="13"/>
      <c r="AT205" s="12" t="s">
        <v>362</v>
      </c>
      <c r="AU205" s="4" t="s">
        <v>368</v>
      </c>
      <c r="AV205" s="4" t="s">
        <v>684</v>
      </c>
      <c r="AW205" s="4" t="s">
        <v>687</v>
      </c>
      <c r="AX205" s="4" t="s">
        <v>690</v>
      </c>
      <c r="AY205" s="4" t="s">
        <v>373</v>
      </c>
      <c r="AZ205" s="13" t="s">
        <v>14</v>
      </c>
      <c r="BA205" s="4" t="s">
        <v>268</v>
      </c>
      <c r="BB205" s="4" t="s">
        <v>268</v>
      </c>
      <c r="BC205" s="13" t="s">
        <v>400</v>
      </c>
      <c r="BD205" s="4">
        <v>4</v>
      </c>
      <c r="BE205" s="4" t="s">
        <v>457</v>
      </c>
      <c r="BF205" s="13" t="s">
        <v>456</v>
      </c>
      <c r="BG205" s="3"/>
    </row>
    <row r="206" spans="1:59" ht="29.25" hidden="1" customHeight="1">
      <c r="A206" s="4">
        <v>203</v>
      </c>
      <c r="B206" s="4" t="s">
        <v>37</v>
      </c>
      <c r="C206" s="4" t="s">
        <v>7</v>
      </c>
      <c r="D206" s="4">
        <v>2021</v>
      </c>
      <c r="E206" s="1" t="s">
        <v>500</v>
      </c>
      <c r="F206" s="19" t="s">
        <v>64</v>
      </c>
      <c r="G206" s="4"/>
      <c r="L206" s="6" t="s">
        <v>252</v>
      </c>
      <c r="M206" s="4" t="s">
        <v>266</v>
      </c>
      <c r="N206" s="13" t="s">
        <v>263</v>
      </c>
      <c r="O206" s="4"/>
      <c r="P206" s="4"/>
      <c r="Q206" s="4" t="s">
        <v>13</v>
      </c>
      <c r="R206" s="4"/>
      <c r="S206" s="4"/>
      <c r="T206" s="4"/>
      <c r="U206" s="4" t="s">
        <v>13</v>
      </c>
      <c r="V206" s="4"/>
      <c r="W206" s="4"/>
      <c r="X206" s="4"/>
      <c r="Y206" s="4" t="s">
        <v>13</v>
      </c>
      <c r="Z206" s="4"/>
      <c r="AA206" s="4"/>
      <c r="AB206" s="4"/>
      <c r="AC206" s="4"/>
      <c r="AD206" s="4"/>
      <c r="AE206" s="4"/>
      <c r="AF206" s="4"/>
      <c r="AG206" s="4"/>
      <c r="AH206" s="4" t="s">
        <v>13</v>
      </c>
      <c r="AI206" s="4"/>
      <c r="AJ206" s="4"/>
      <c r="AK206" s="4" t="s">
        <v>13</v>
      </c>
      <c r="AL206" s="4"/>
      <c r="AM206" s="4"/>
      <c r="AN206" s="4"/>
      <c r="AO206" s="4"/>
      <c r="AP206" s="4" t="s">
        <v>13</v>
      </c>
      <c r="AQ206" s="4"/>
      <c r="AR206" s="4"/>
      <c r="AS206" s="13"/>
      <c r="AT206" s="12" t="s">
        <v>352</v>
      </c>
      <c r="AU206" s="4" t="s">
        <v>368</v>
      </c>
      <c r="AV206" s="4" t="s">
        <v>684</v>
      </c>
      <c r="AW206" s="4" t="s">
        <v>687</v>
      </c>
      <c r="AX206" s="4" t="s">
        <v>690</v>
      </c>
      <c r="AY206" s="4" t="s">
        <v>371</v>
      </c>
      <c r="AZ206" s="13" t="s">
        <v>14</v>
      </c>
      <c r="BA206" s="4" t="s">
        <v>268</v>
      </c>
      <c r="BB206" s="4" t="s">
        <v>375</v>
      </c>
      <c r="BC206" s="13" t="s">
        <v>564</v>
      </c>
      <c r="BD206" s="4">
        <v>1</v>
      </c>
      <c r="BE206" s="4" t="s">
        <v>455</v>
      </c>
      <c r="BF206" s="13" t="s">
        <v>456</v>
      </c>
      <c r="BG206" s="3"/>
    </row>
    <row r="207" spans="1:59" ht="28.5" hidden="1">
      <c r="A207" s="4">
        <v>204</v>
      </c>
      <c r="B207" s="4" t="s">
        <v>37</v>
      </c>
      <c r="C207" s="4" t="s">
        <v>7</v>
      </c>
      <c r="D207" s="4">
        <v>2021</v>
      </c>
      <c r="E207" s="1" t="s">
        <v>501</v>
      </c>
      <c r="F207" s="19" t="s">
        <v>64</v>
      </c>
      <c r="G207" s="4"/>
      <c r="L207" s="6" t="s">
        <v>256</v>
      </c>
      <c r="M207" s="4" t="s">
        <v>266</v>
      </c>
      <c r="N207" s="13" t="s">
        <v>263</v>
      </c>
      <c r="O207" s="4"/>
      <c r="P207" s="4"/>
      <c r="Q207" s="4"/>
      <c r="R207" s="4" t="s">
        <v>13</v>
      </c>
      <c r="S207" s="4" t="s">
        <v>13</v>
      </c>
      <c r="T207" s="4" t="s">
        <v>13</v>
      </c>
      <c r="U207" s="4"/>
      <c r="V207" s="4"/>
      <c r="W207" s="4"/>
      <c r="X207" s="4"/>
      <c r="Y207" s="4"/>
      <c r="Z207" s="4"/>
      <c r="AA207" s="4"/>
      <c r="AB207" s="4"/>
      <c r="AC207" s="4"/>
      <c r="AD207" s="4" t="s">
        <v>13</v>
      </c>
      <c r="AE207" s="4"/>
      <c r="AF207" s="4"/>
      <c r="AG207" s="4"/>
      <c r="AH207" s="4"/>
      <c r="AI207" s="4"/>
      <c r="AJ207" s="4" t="s">
        <v>13</v>
      </c>
      <c r="AK207" s="4"/>
      <c r="AL207" s="4"/>
      <c r="AM207" s="4"/>
      <c r="AN207" s="4"/>
      <c r="AO207" s="4"/>
      <c r="AP207" s="4"/>
      <c r="AQ207" s="4"/>
      <c r="AR207" s="4"/>
      <c r="AS207" s="13"/>
      <c r="AT207" s="4" t="s">
        <v>565</v>
      </c>
      <c r="AU207" s="4" t="s">
        <v>368</v>
      </c>
      <c r="AV207" s="4" t="s">
        <v>684</v>
      </c>
      <c r="AW207" s="4" t="s">
        <v>687</v>
      </c>
      <c r="AX207" s="4" t="s">
        <v>690</v>
      </c>
      <c r="AY207" s="4" t="s">
        <v>371</v>
      </c>
      <c r="AZ207" s="13" t="s">
        <v>14</v>
      </c>
      <c r="BA207" s="4" t="s">
        <v>268</v>
      </c>
      <c r="BB207" s="4" t="s">
        <v>268</v>
      </c>
      <c r="BC207" s="13" t="s">
        <v>400</v>
      </c>
      <c r="BD207" s="4">
        <v>2</v>
      </c>
      <c r="BE207" s="4" t="s">
        <v>455</v>
      </c>
      <c r="BF207" s="13" t="s">
        <v>456</v>
      </c>
      <c r="BG207" s="3"/>
    </row>
    <row r="208" spans="1:59" ht="28.5" hidden="1">
      <c r="A208" s="4">
        <v>205</v>
      </c>
      <c r="B208" s="4" t="s">
        <v>37</v>
      </c>
      <c r="C208" s="4" t="s">
        <v>7</v>
      </c>
      <c r="D208" s="4">
        <v>2021</v>
      </c>
      <c r="E208" s="1" t="s">
        <v>502</v>
      </c>
      <c r="F208" s="19" t="s">
        <v>64</v>
      </c>
      <c r="G208" s="4"/>
      <c r="L208" s="6" t="s">
        <v>252</v>
      </c>
      <c r="M208" s="4" t="s">
        <v>266</v>
      </c>
      <c r="N208" s="13" t="s">
        <v>263</v>
      </c>
      <c r="O208" s="4"/>
      <c r="P208" s="4"/>
      <c r="Q208" s="4" t="s">
        <v>13</v>
      </c>
      <c r="R208" s="4"/>
      <c r="S208" s="4"/>
      <c r="T208" s="4"/>
      <c r="U208" s="4" t="s">
        <v>13</v>
      </c>
      <c r="V208" s="4"/>
      <c r="W208" s="4"/>
      <c r="X208" s="4"/>
      <c r="Y208" s="4" t="s">
        <v>13</v>
      </c>
      <c r="Z208" s="4"/>
      <c r="AA208" s="4"/>
      <c r="AB208" s="4"/>
      <c r="AC208" s="4"/>
      <c r="AD208" s="4"/>
      <c r="AE208" s="4"/>
      <c r="AF208" s="4"/>
      <c r="AG208" s="4"/>
      <c r="AH208" s="4" t="s">
        <v>13</v>
      </c>
      <c r="AI208" s="4"/>
      <c r="AJ208" s="4"/>
      <c r="AK208" s="4" t="s">
        <v>13</v>
      </c>
      <c r="AL208" s="4"/>
      <c r="AM208" s="4"/>
      <c r="AN208" s="4"/>
      <c r="AO208" s="4"/>
      <c r="AP208" s="4" t="s">
        <v>13</v>
      </c>
      <c r="AQ208" s="4"/>
      <c r="AR208" s="4"/>
      <c r="AS208" s="13"/>
      <c r="AT208" s="4" t="s">
        <v>352</v>
      </c>
      <c r="AU208" s="4" t="s">
        <v>368</v>
      </c>
      <c r="AV208" s="4" t="s">
        <v>684</v>
      </c>
      <c r="AW208" s="4" t="s">
        <v>687</v>
      </c>
      <c r="AX208" s="4" t="s">
        <v>690</v>
      </c>
      <c r="AY208" s="4" t="s">
        <v>371</v>
      </c>
      <c r="AZ208" s="13" t="s">
        <v>14</v>
      </c>
      <c r="BA208" s="4" t="s">
        <v>268</v>
      </c>
      <c r="BB208" s="4" t="s">
        <v>375</v>
      </c>
      <c r="BC208" s="13" t="s">
        <v>564</v>
      </c>
      <c r="BD208" s="4">
        <v>1</v>
      </c>
      <c r="BE208" s="4" t="s">
        <v>455</v>
      </c>
      <c r="BF208" s="13" t="s">
        <v>456</v>
      </c>
      <c r="BG208" s="3"/>
    </row>
    <row r="209" spans="1:59" ht="28.5" hidden="1">
      <c r="A209" s="4">
        <v>206</v>
      </c>
      <c r="B209" s="4" t="s">
        <v>37</v>
      </c>
      <c r="C209" s="4" t="s">
        <v>7</v>
      </c>
      <c r="D209" s="4">
        <v>2021</v>
      </c>
      <c r="E209" s="1" t="s">
        <v>503</v>
      </c>
      <c r="F209" s="19" t="s">
        <v>64</v>
      </c>
      <c r="G209" s="4"/>
      <c r="L209" s="6" t="s">
        <v>252</v>
      </c>
      <c r="M209" s="4" t="s">
        <v>266</v>
      </c>
      <c r="N209" s="13" t="s">
        <v>263</v>
      </c>
      <c r="O209" s="4"/>
      <c r="P209" s="4"/>
      <c r="Q209" s="4" t="s">
        <v>13</v>
      </c>
      <c r="R209" s="4"/>
      <c r="S209" s="4"/>
      <c r="T209" s="4"/>
      <c r="U209" s="4" t="s">
        <v>13</v>
      </c>
      <c r="V209" s="4"/>
      <c r="W209" s="4"/>
      <c r="X209" s="4"/>
      <c r="Y209" s="4" t="s">
        <v>13</v>
      </c>
      <c r="Z209" s="4"/>
      <c r="AA209" s="4"/>
      <c r="AB209" s="4"/>
      <c r="AC209" s="4"/>
      <c r="AD209" s="4"/>
      <c r="AE209" s="4"/>
      <c r="AF209" s="4"/>
      <c r="AG209" s="4"/>
      <c r="AH209" s="4" t="s">
        <v>13</v>
      </c>
      <c r="AI209" s="4"/>
      <c r="AJ209" s="4"/>
      <c r="AK209" s="4" t="s">
        <v>13</v>
      </c>
      <c r="AL209" s="4"/>
      <c r="AM209" s="4"/>
      <c r="AN209" s="4"/>
      <c r="AO209" s="4"/>
      <c r="AP209" s="4" t="s">
        <v>13</v>
      </c>
      <c r="AQ209" s="4"/>
      <c r="AR209" s="4"/>
      <c r="AS209" s="13"/>
      <c r="AT209" s="12" t="s">
        <v>352</v>
      </c>
      <c r="AU209" s="4" t="s">
        <v>368</v>
      </c>
      <c r="AV209" s="4" t="s">
        <v>684</v>
      </c>
      <c r="AW209" s="4" t="s">
        <v>687</v>
      </c>
      <c r="AX209" s="4" t="s">
        <v>690</v>
      </c>
      <c r="AY209" s="4" t="s">
        <v>371</v>
      </c>
      <c r="AZ209" s="13" t="s">
        <v>14</v>
      </c>
      <c r="BA209" s="4" t="s">
        <v>268</v>
      </c>
      <c r="BB209" s="4" t="s">
        <v>375</v>
      </c>
      <c r="BC209" s="13" t="s">
        <v>564</v>
      </c>
      <c r="BD209" s="4">
        <v>2</v>
      </c>
      <c r="BE209" s="4" t="s">
        <v>455</v>
      </c>
      <c r="BF209" s="13" t="s">
        <v>456</v>
      </c>
      <c r="BG209" s="3"/>
    </row>
    <row r="210" spans="1:59" ht="28.5" hidden="1">
      <c r="A210" s="4">
        <v>207</v>
      </c>
      <c r="B210" s="4" t="s">
        <v>37</v>
      </c>
      <c r="C210" s="4" t="s">
        <v>7</v>
      </c>
      <c r="D210" s="4">
        <v>2023</v>
      </c>
      <c r="E210" s="1" t="s">
        <v>504</v>
      </c>
      <c r="F210" s="19" t="s">
        <v>64</v>
      </c>
      <c r="G210" s="4"/>
      <c r="L210" s="6" t="s">
        <v>256</v>
      </c>
      <c r="M210" s="4" t="s">
        <v>266</v>
      </c>
      <c r="N210" s="13" t="s">
        <v>263</v>
      </c>
      <c r="O210" s="4"/>
      <c r="P210" s="4" t="s">
        <v>13</v>
      </c>
      <c r="Q210" s="4"/>
      <c r="R210" s="4"/>
      <c r="S210" s="4"/>
      <c r="T210" s="4" t="s">
        <v>13</v>
      </c>
      <c r="U210" s="4"/>
      <c r="V210" s="4"/>
      <c r="W210" s="4"/>
      <c r="X210" s="4"/>
      <c r="Y210" s="4"/>
      <c r="Z210" s="4"/>
      <c r="AA210" s="4"/>
      <c r="AB210" s="4"/>
      <c r="AC210" s="4"/>
      <c r="AD210" s="4" t="s">
        <v>13</v>
      </c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 t="s">
        <v>13</v>
      </c>
      <c r="AQ210" s="4"/>
      <c r="AR210" s="4"/>
      <c r="AS210" s="13"/>
      <c r="AT210" s="12" t="s">
        <v>350</v>
      </c>
      <c r="AU210" s="4" t="s">
        <v>368</v>
      </c>
      <c r="AV210" s="4" t="s">
        <v>684</v>
      </c>
      <c r="AW210" s="4" t="s">
        <v>688</v>
      </c>
      <c r="AX210" s="4" t="s">
        <v>690</v>
      </c>
      <c r="AY210" s="4" t="s">
        <v>373</v>
      </c>
      <c r="AZ210" s="13" t="s">
        <v>14</v>
      </c>
      <c r="BA210" s="4" t="s">
        <v>268</v>
      </c>
      <c r="BB210" s="4" t="s">
        <v>375</v>
      </c>
      <c r="BC210" s="13" t="s">
        <v>564</v>
      </c>
      <c r="BD210" s="4">
        <v>1</v>
      </c>
      <c r="BE210" s="4" t="s">
        <v>455</v>
      </c>
      <c r="BF210" s="13" t="s">
        <v>456</v>
      </c>
      <c r="BG210" s="3"/>
    </row>
    <row r="211" spans="1:59" ht="30" hidden="1">
      <c r="A211" s="4">
        <v>208</v>
      </c>
      <c r="B211" s="4" t="s">
        <v>37</v>
      </c>
      <c r="C211" s="4" t="s">
        <v>7</v>
      </c>
      <c r="D211" s="4">
        <v>2023</v>
      </c>
      <c r="E211" s="1" t="s">
        <v>505</v>
      </c>
      <c r="F211" s="19" t="s">
        <v>64</v>
      </c>
      <c r="G211" s="4"/>
      <c r="L211" s="6" t="s">
        <v>252</v>
      </c>
      <c r="M211" s="4" t="s">
        <v>266</v>
      </c>
      <c r="N211" s="13" t="s">
        <v>263</v>
      </c>
      <c r="O211" s="4" t="s">
        <v>13</v>
      </c>
      <c r="P211" s="4"/>
      <c r="Q211" s="4"/>
      <c r="R211" s="4"/>
      <c r="S211" s="4" t="s">
        <v>13</v>
      </c>
      <c r="T211" s="4"/>
      <c r="U211" s="4"/>
      <c r="V211" s="4"/>
      <c r="W211" s="4"/>
      <c r="X211" s="4" t="s">
        <v>13</v>
      </c>
      <c r="Y211" s="4"/>
      <c r="Z211" s="4"/>
      <c r="AA211" s="4"/>
      <c r="AB211" s="4"/>
      <c r="AC211" s="4"/>
      <c r="AD211" s="4"/>
      <c r="AE211" s="4"/>
      <c r="AF211" s="4"/>
      <c r="AG211" s="4"/>
      <c r="AH211" s="4" t="s">
        <v>13</v>
      </c>
      <c r="AI211" s="4" t="s">
        <v>13</v>
      </c>
      <c r="AJ211" s="4"/>
      <c r="AK211" s="4"/>
      <c r="AL211" s="4"/>
      <c r="AM211" s="4"/>
      <c r="AN211" s="4"/>
      <c r="AO211" s="4"/>
      <c r="AP211" s="4"/>
      <c r="AQ211" s="4"/>
      <c r="AR211" s="4"/>
      <c r="AS211" s="13"/>
      <c r="AT211" s="12" t="s">
        <v>349</v>
      </c>
      <c r="AU211" s="4" t="s">
        <v>369</v>
      </c>
      <c r="AV211" s="4" t="s">
        <v>684</v>
      </c>
      <c r="AW211" s="4" t="s">
        <v>687</v>
      </c>
      <c r="AX211" s="4" t="s">
        <v>690</v>
      </c>
      <c r="AY211" s="4" t="s">
        <v>371</v>
      </c>
      <c r="AZ211" s="13" t="s">
        <v>14</v>
      </c>
      <c r="BA211" s="4" t="s">
        <v>268</v>
      </c>
      <c r="BB211" s="4" t="s">
        <v>375</v>
      </c>
      <c r="BC211" s="13" t="s">
        <v>400</v>
      </c>
      <c r="BD211" s="4">
        <v>3</v>
      </c>
      <c r="BE211" s="4" t="s">
        <v>457</v>
      </c>
      <c r="BF211" s="13" t="s">
        <v>456</v>
      </c>
      <c r="BG211" s="3"/>
    </row>
    <row r="212" spans="1:59" ht="42.75" hidden="1">
      <c r="A212" s="4">
        <v>209</v>
      </c>
      <c r="B212" s="4" t="s">
        <v>37</v>
      </c>
      <c r="C212" s="4" t="s">
        <v>7</v>
      </c>
      <c r="D212" s="4">
        <v>2023</v>
      </c>
      <c r="E212" s="1" t="s">
        <v>506</v>
      </c>
      <c r="F212" s="19" t="s">
        <v>64</v>
      </c>
      <c r="G212" s="4"/>
      <c r="L212" s="6" t="s">
        <v>252</v>
      </c>
      <c r="M212" s="4" t="s">
        <v>266</v>
      </c>
      <c r="N212" s="13" t="s">
        <v>263</v>
      </c>
      <c r="O212" s="4"/>
      <c r="P212" s="4"/>
      <c r="Q212" s="4" t="s">
        <v>13</v>
      </c>
      <c r="R212" s="4"/>
      <c r="S212" s="4" t="s">
        <v>13</v>
      </c>
      <c r="T212" s="4" t="s">
        <v>13</v>
      </c>
      <c r="U212" s="4"/>
      <c r="V212" s="4"/>
      <c r="W212" s="4"/>
      <c r="X212" s="4"/>
      <c r="Y212" s="4" t="s">
        <v>13</v>
      </c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13"/>
      <c r="AT212" s="4" t="s">
        <v>352</v>
      </c>
      <c r="AU212" s="4" t="s">
        <v>368</v>
      </c>
      <c r="AV212" s="4" t="s">
        <v>684</v>
      </c>
      <c r="AW212" s="4" t="s">
        <v>687</v>
      </c>
      <c r="AX212" s="4" t="s">
        <v>690</v>
      </c>
      <c r="AY212" s="4" t="s">
        <v>371</v>
      </c>
      <c r="AZ212" s="13" t="s">
        <v>14</v>
      </c>
      <c r="BA212" s="4" t="s">
        <v>268</v>
      </c>
      <c r="BB212" s="4" t="s">
        <v>563</v>
      </c>
      <c r="BC212" s="13" t="s">
        <v>436</v>
      </c>
      <c r="BD212" s="4">
        <v>1</v>
      </c>
      <c r="BE212" s="4" t="s">
        <v>455</v>
      </c>
      <c r="BF212" s="13" t="s">
        <v>456</v>
      </c>
      <c r="BG212" s="3"/>
    </row>
    <row r="213" spans="1:59" ht="28.5" hidden="1">
      <c r="A213" s="4">
        <v>210</v>
      </c>
      <c r="B213" s="4" t="s">
        <v>37</v>
      </c>
      <c r="C213" s="4" t="s">
        <v>7</v>
      </c>
      <c r="D213" s="4">
        <v>2023</v>
      </c>
      <c r="E213" s="1" t="s">
        <v>507</v>
      </c>
      <c r="F213" s="19" t="s">
        <v>64</v>
      </c>
      <c r="G213" s="4"/>
      <c r="L213" s="6" t="s">
        <v>252</v>
      </c>
      <c r="M213" s="4" t="s">
        <v>266</v>
      </c>
      <c r="N213" s="13" t="s">
        <v>263</v>
      </c>
      <c r="O213" s="4" t="s">
        <v>13</v>
      </c>
      <c r="P213" s="4"/>
      <c r="Q213" s="4"/>
      <c r="R213" s="4"/>
      <c r="S213" s="4" t="s">
        <v>13</v>
      </c>
      <c r="T213" s="4"/>
      <c r="U213" s="4"/>
      <c r="V213" s="4"/>
      <c r="W213" s="4"/>
      <c r="X213" s="4" t="s">
        <v>13</v>
      </c>
      <c r="Y213" s="4"/>
      <c r="Z213" s="4"/>
      <c r="AA213" s="4"/>
      <c r="AB213" s="4"/>
      <c r="AC213" s="4"/>
      <c r="AD213" s="4"/>
      <c r="AE213" s="4"/>
      <c r="AF213" s="4"/>
      <c r="AG213" s="4"/>
      <c r="AH213" s="4" t="s">
        <v>13</v>
      </c>
      <c r="AI213" s="4" t="s">
        <v>13</v>
      </c>
      <c r="AJ213" s="4"/>
      <c r="AK213" s="4"/>
      <c r="AL213" s="4"/>
      <c r="AM213" s="4"/>
      <c r="AN213" s="4"/>
      <c r="AO213" s="4"/>
      <c r="AP213" s="4"/>
      <c r="AQ213" s="4"/>
      <c r="AR213" s="4"/>
      <c r="AS213" s="13"/>
      <c r="AT213" s="12" t="s">
        <v>349</v>
      </c>
      <c r="AU213" s="4" t="s">
        <v>369</v>
      </c>
      <c r="AV213" s="4" t="s">
        <v>684</v>
      </c>
      <c r="AW213" s="4" t="s">
        <v>687</v>
      </c>
      <c r="AX213" s="4" t="s">
        <v>690</v>
      </c>
      <c r="AY213" s="4" t="s">
        <v>371</v>
      </c>
      <c r="AZ213" s="13" t="s">
        <v>14</v>
      </c>
      <c r="BA213" s="4" t="s">
        <v>268</v>
      </c>
      <c r="BB213" s="4" t="s">
        <v>375</v>
      </c>
      <c r="BC213" s="13" t="s">
        <v>400</v>
      </c>
      <c r="BD213" s="4">
        <v>1</v>
      </c>
      <c r="BE213" s="4" t="s">
        <v>455</v>
      </c>
      <c r="BF213" s="13" t="s">
        <v>456</v>
      </c>
      <c r="BG213" s="3"/>
    </row>
    <row r="214" spans="1:59" ht="42.75" hidden="1">
      <c r="A214" s="4">
        <v>211</v>
      </c>
      <c r="B214" s="4" t="s">
        <v>37</v>
      </c>
      <c r="C214" s="4" t="s">
        <v>7</v>
      </c>
      <c r="D214" s="4">
        <v>2023</v>
      </c>
      <c r="E214" s="1" t="s">
        <v>508</v>
      </c>
      <c r="F214" s="19" t="s">
        <v>64</v>
      </c>
      <c r="G214" s="4"/>
      <c r="L214" s="6" t="s">
        <v>252</v>
      </c>
      <c r="M214" s="4" t="s">
        <v>266</v>
      </c>
      <c r="N214" s="13" t="s">
        <v>263</v>
      </c>
      <c r="O214" s="4"/>
      <c r="P214" s="4"/>
      <c r="Q214" s="4" t="s">
        <v>13</v>
      </c>
      <c r="R214" s="4"/>
      <c r="S214" s="4" t="s">
        <v>13</v>
      </c>
      <c r="T214" s="4" t="s">
        <v>13</v>
      </c>
      <c r="U214" s="4"/>
      <c r="V214" s="4"/>
      <c r="W214" s="4"/>
      <c r="X214" s="4"/>
      <c r="Y214" s="4" t="s">
        <v>13</v>
      </c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13"/>
      <c r="AT214" s="4" t="s">
        <v>352</v>
      </c>
      <c r="AU214" s="4" t="s">
        <v>368</v>
      </c>
      <c r="AV214" s="4" t="s">
        <v>684</v>
      </c>
      <c r="AW214" s="4" t="s">
        <v>687</v>
      </c>
      <c r="AX214" s="4" t="s">
        <v>690</v>
      </c>
      <c r="AY214" s="4" t="s">
        <v>371</v>
      </c>
      <c r="AZ214" s="13" t="s">
        <v>14</v>
      </c>
      <c r="BA214" s="4" t="s">
        <v>268</v>
      </c>
      <c r="BB214" s="4" t="s">
        <v>563</v>
      </c>
      <c r="BC214" s="13" t="s">
        <v>436</v>
      </c>
      <c r="BD214" s="4">
        <v>1</v>
      </c>
      <c r="BE214" s="4" t="s">
        <v>455</v>
      </c>
      <c r="BF214" s="13" t="s">
        <v>456</v>
      </c>
      <c r="BG214" s="3"/>
    </row>
    <row r="215" spans="1:59" ht="28.5" hidden="1">
      <c r="A215" s="4">
        <v>212</v>
      </c>
      <c r="B215" s="4" t="s">
        <v>37</v>
      </c>
      <c r="C215" s="4" t="s">
        <v>7</v>
      </c>
      <c r="D215" s="4">
        <v>2023</v>
      </c>
      <c r="E215" s="1" t="s">
        <v>509</v>
      </c>
      <c r="F215" s="19" t="s">
        <v>64</v>
      </c>
      <c r="G215" s="4"/>
      <c r="L215" s="6" t="s">
        <v>256</v>
      </c>
      <c r="M215" s="4" t="s">
        <v>266</v>
      </c>
      <c r="N215" s="13" t="s">
        <v>263</v>
      </c>
      <c r="O215" s="4"/>
      <c r="P215" s="4" t="s">
        <v>13</v>
      </c>
      <c r="Q215" s="4"/>
      <c r="R215" s="4"/>
      <c r="S215" s="4"/>
      <c r="T215" s="4" t="s">
        <v>13</v>
      </c>
      <c r="U215" s="4"/>
      <c r="V215" s="4"/>
      <c r="W215" s="4"/>
      <c r="X215" s="4"/>
      <c r="Y215" s="4"/>
      <c r="Z215" s="4"/>
      <c r="AA215" s="4"/>
      <c r="AB215" s="4"/>
      <c r="AC215" s="4"/>
      <c r="AD215" s="4" t="s">
        <v>13</v>
      </c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 t="s">
        <v>13</v>
      </c>
      <c r="AQ215" s="4"/>
      <c r="AR215" s="4"/>
      <c r="AS215" s="13"/>
      <c r="AT215" s="12" t="s">
        <v>350</v>
      </c>
      <c r="AU215" s="4" t="s">
        <v>368</v>
      </c>
      <c r="AV215" s="4" t="s">
        <v>684</v>
      </c>
      <c r="AW215" s="4" t="s">
        <v>687</v>
      </c>
      <c r="AX215" s="4" t="s">
        <v>690</v>
      </c>
      <c r="AY215" s="4" t="s">
        <v>371</v>
      </c>
      <c r="AZ215" s="13" t="s">
        <v>14</v>
      </c>
      <c r="BA215" s="4" t="s">
        <v>268</v>
      </c>
      <c r="BB215" s="4" t="s">
        <v>375</v>
      </c>
      <c r="BC215" s="13" t="s">
        <v>564</v>
      </c>
      <c r="BD215" s="4">
        <v>2</v>
      </c>
      <c r="BE215" s="4" t="s">
        <v>457</v>
      </c>
      <c r="BF215" s="13" t="s">
        <v>456</v>
      </c>
      <c r="BG215" s="3"/>
    </row>
    <row r="216" spans="1:59" ht="42.75" hidden="1">
      <c r="A216" s="4">
        <v>213</v>
      </c>
      <c r="B216" s="4" t="s">
        <v>37</v>
      </c>
      <c r="C216" s="4" t="s">
        <v>7</v>
      </c>
      <c r="D216" s="4">
        <v>2023</v>
      </c>
      <c r="E216" s="1" t="s">
        <v>510</v>
      </c>
      <c r="F216" s="19" t="s">
        <v>64</v>
      </c>
      <c r="G216" s="4"/>
      <c r="L216" s="6" t="s">
        <v>252</v>
      </c>
      <c r="M216" s="4" t="s">
        <v>266</v>
      </c>
      <c r="N216" s="13" t="s">
        <v>263</v>
      </c>
      <c r="O216" s="4"/>
      <c r="P216" s="4"/>
      <c r="Q216" s="4" t="s">
        <v>13</v>
      </c>
      <c r="R216" s="4"/>
      <c r="S216" s="4" t="s">
        <v>13</v>
      </c>
      <c r="T216" s="4" t="s">
        <v>13</v>
      </c>
      <c r="U216" s="4"/>
      <c r="V216" s="4"/>
      <c r="W216" s="4"/>
      <c r="X216" s="4"/>
      <c r="Y216" s="4" t="s">
        <v>13</v>
      </c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13"/>
      <c r="AT216" s="4" t="s">
        <v>352</v>
      </c>
      <c r="AU216" s="4" t="s">
        <v>368</v>
      </c>
      <c r="AV216" s="4" t="s">
        <v>684</v>
      </c>
      <c r="AW216" s="4" t="s">
        <v>687</v>
      </c>
      <c r="AX216" s="4" t="s">
        <v>690</v>
      </c>
      <c r="AY216" s="4" t="s">
        <v>371</v>
      </c>
      <c r="AZ216" s="13" t="s">
        <v>14</v>
      </c>
      <c r="BA216" s="4" t="s">
        <v>268</v>
      </c>
      <c r="BB216" s="4" t="s">
        <v>563</v>
      </c>
      <c r="BC216" s="13" t="s">
        <v>436</v>
      </c>
      <c r="BD216" s="4">
        <v>1</v>
      </c>
      <c r="BE216" s="4" t="s">
        <v>455</v>
      </c>
      <c r="BF216" s="13" t="s">
        <v>456</v>
      </c>
      <c r="BG216" s="3"/>
    </row>
    <row r="217" spans="1:59" ht="42.75" hidden="1">
      <c r="A217" s="4">
        <v>214</v>
      </c>
      <c r="B217" s="4" t="s">
        <v>37</v>
      </c>
      <c r="C217" s="4" t="s">
        <v>7</v>
      </c>
      <c r="D217" s="4">
        <v>2023</v>
      </c>
      <c r="E217" s="1" t="s">
        <v>511</v>
      </c>
      <c r="F217" s="19" t="s">
        <v>64</v>
      </c>
      <c r="G217" s="4"/>
      <c r="L217" s="6" t="s">
        <v>252</v>
      </c>
      <c r="M217" s="4" t="s">
        <v>266</v>
      </c>
      <c r="N217" s="13" t="s">
        <v>263</v>
      </c>
      <c r="O217" s="4"/>
      <c r="P217" s="4"/>
      <c r="Q217" s="4" t="s">
        <v>13</v>
      </c>
      <c r="R217" s="4"/>
      <c r="S217" s="4" t="s">
        <v>13</v>
      </c>
      <c r="T217" s="4" t="s">
        <v>13</v>
      </c>
      <c r="U217" s="4"/>
      <c r="V217" s="4"/>
      <c r="W217" s="4"/>
      <c r="X217" s="4"/>
      <c r="Y217" s="4" t="s">
        <v>13</v>
      </c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13"/>
      <c r="AT217" s="4" t="s">
        <v>352</v>
      </c>
      <c r="AU217" s="4" t="s">
        <v>368</v>
      </c>
      <c r="AV217" s="4" t="s">
        <v>684</v>
      </c>
      <c r="AW217" s="4" t="s">
        <v>687</v>
      </c>
      <c r="AX217" s="4" t="s">
        <v>690</v>
      </c>
      <c r="AY217" s="4" t="s">
        <v>371</v>
      </c>
      <c r="AZ217" s="13" t="s">
        <v>14</v>
      </c>
      <c r="BA217" s="4" t="s">
        <v>268</v>
      </c>
      <c r="BB217" s="4" t="s">
        <v>563</v>
      </c>
      <c r="BC217" s="13" t="s">
        <v>436</v>
      </c>
      <c r="BD217" s="4">
        <v>1</v>
      </c>
      <c r="BE217" s="4" t="s">
        <v>455</v>
      </c>
      <c r="BF217" s="13" t="s">
        <v>456</v>
      </c>
      <c r="BG217" s="3"/>
    </row>
    <row r="218" spans="1:59" ht="28.5" hidden="1">
      <c r="A218" s="4">
        <v>215</v>
      </c>
      <c r="B218" s="4" t="s">
        <v>37</v>
      </c>
      <c r="C218" s="4" t="s">
        <v>7</v>
      </c>
      <c r="D218" s="4">
        <v>2023</v>
      </c>
      <c r="E218" s="1" t="s">
        <v>512</v>
      </c>
      <c r="F218" s="19" t="s">
        <v>64</v>
      </c>
      <c r="G218" s="4"/>
      <c r="L218" s="6" t="s">
        <v>252</v>
      </c>
      <c r="M218" s="4" t="s">
        <v>266</v>
      </c>
      <c r="N218" s="13" t="s">
        <v>263</v>
      </c>
      <c r="O218" s="4" t="s">
        <v>13</v>
      </c>
      <c r="P218" s="4"/>
      <c r="Q218" s="4"/>
      <c r="R218" s="4"/>
      <c r="S218" s="4" t="s">
        <v>13</v>
      </c>
      <c r="T218" s="4"/>
      <c r="U218" s="4"/>
      <c r="V218" s="4"/>
      <c r="W218" s="4"/>
      <c r="X218" s="4" t="s">
        <v>13</v>
      </c>
      <c r="Y218" s="4"/>
      <c r="Z218" s="4"/>
      <c r="AA218" s="4"/>
      <c r="AB218" s="4"/>
      <c r="AC218" s="4"/>
      <c r="AD218" s="4"/>
      <c r="AE218" s="4"/>
      <c r="AF218" s="4"/>
      <c r="AG218" s="4"/>
      <c r="AH218" s="4" t="s">
        <v>13</v>
      </c>
      <c r="AI218" s="4" t="s">
        <v>13</v>
      </c>
      <c r="AJ218" s="4"/>
      <c r="AK218" s="4"/>
      <c r="AL218" s="4"/>
      <c r="AM218" s="4"/>
      <c r="AN218" s="4"/>
      <c r="AO218" s="4"/>
      <c r="AP218" s="4"/>
      <c r="AQ218" s="4"/>
      <c r="AR218" s="4"/>
      <c r="AS218" s="13"/>
      <c r="AT218" s="12" t="s">
        <v>349</v>
      </c>
      <c r="AU218" s="4" t="s">
        <v>369</v>
      </c>
      <c r="AV218" s="4" t="s">
        <v>684</v>
      </c>
      <c r="AW218" s="4" t="s">
        <v>687</v>
      </c>
      <c r="AX218" s="4" t="s">
        <v>690</v>
      </c>
      <c r="AY218" s="4" t="s">
        <v>371</v>
      </c>
      <c r="AZ218" s="13" t="s">
        <v>14</v>
      </c>
      <c r="BA218" s="4" t="s">
        <v>268</v>
      </c>
      <c r="BB218" s="4" t="s">
        <v>375</v>
      </c>
      <c r="BC218" s="13" t="s">
        <v>400</v>
      </c>
      <c r="BD218" s="4">
        <v>2</v>
      </c>
      <c r="BE218" s="4" t="s">
        <v>455</v>
      </c>
      <c r="BF218" s="13" t="s">
        <v>456</v>
      </c>
      <c r="BG218" s="3"/>
    </row>
    <row r="219" spans="1:59" ht="28.5" hidden="1">
      <c r="A219" s="4">
        <v>216</v>
      </c>
      <c r="B219" s="4" t="s">
        <v>8</v>
      </c>
      <c r="C219" s="4" t="s">
        <v>6</v>
      </c>
      <c r="D219" s="4">
        <v>2018</v>
      </c>
      <c r="E219" s="1" t="s">
        <v>513</v>
      </c>
      <c r="F219" s="19" t="s">
        <v>100</v>
      </c>
      <c r="G219" s="4"/>
      <c r="L219" s="6" t="s">
        <v>256</v>
      </c>
      <c r="M219" s="4" t="s">
        <v>266</v>
      </c>
      <c r="N219" s="13" t="s">
        <v>567</v>
      </c>
      <c r="O219" s="4"/>
      <c r="P219" s="4" t="s">
        <v>13</v>
      </c>
      <c r="Q219" s="4"/>
      <c r="R219" s="4"/>
      <c r="S219" s="4" t="s">
        <v>13</v>
      </c>
      <c r="T219" s="4" t="s">
        <v>13</v>
      </c>
      <c r="U219" s="4" t="s">
        <v>13</v>
      </c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 t="s">
        <v>13</v>
      </c>
      <c r="AI219" s="4"/>
      <c r="AJ219" s="4"/>
      <c r="AK219" s="4"/>
      <c r="AL219" s="4"/>
      <c r="AM219" s="4"/>
      <c r="AN219" s="4"/>
      <c r="AO219" s="4"/>
      <c r="AP219" s="4" t="s">
        <v>13</v>
      </c>
      <c r="AQ219" s="4"/>
      <c r="AR219" s="4"/>
      <c r="AS219" s="13"/>
      <c r="AT219" s="4" t="s">
        <v>350</v>
      </c>
      <c r="AU219" s="4" t="s">
        <v>369</v>
      </c>
      <c r="AV219" s="4" t="s">
        <v>684</v>
      </c>
      <c r="AW219" s="4" t="s">
        <v>688</v>
      </c>
      <c r="AX219" s="4" t="s">
        <v>690</v>
      </c>
      <c r="AY219" s="4" t="s">
        <v>371</v>
      </c>
      <c r="AZ219" s="13" t="s">
        <v>14</v>
      </c>
      <c r="BA219" s="4" t="s">
        <v>393</v>
      </c>
      <c r="BB219" s="4" t="s">
        <v>424</v>
      </c>
      <c r="BC219" s="13" t="s">
        <v>400</v>
      </c>
      <c r="BD219" s="4">
        <v>5</v>
      </c>
      <c r="BE219" s="4" t="s">
        <v>454</v>
      </c>
      <c r="BF219" s="13" t="s">
        <v>454</v>
      </c>
      <c r="BG219" s="3"/>
    </row>
    <row r="220" spans="1:59" ht="42.75" hidden="1">
      <c r="A220" s="4">
        <v>217</v>
      </c>
      <c r="B220" s="4" t="s">
        <v>8</v>
      </c>
      <c r="C220" s="4" t="s">
        <v>6</v>
      </c>
      <c r="D220" s="4">
        <v>2018</v>
      </c>
      <c r="E220" s="1" t="s">
        <v>514</v>
      </c>
      <c r="F220" s="13" t="s">
        <v>100</v>
      </c>
      <c r="G220" s="4"/>
      <c r="L220" s="6" t="s">
        <v>260</v>
      </c>
      <c r="M220" s="4" t="s">
        <v>568</v>
      </c>
      <c r="N220" s="13" t="s">
        <v>308</v>
      </c>
      <c r="O220" s="4" t="s">
        <v>13</v>
      </c>
      <c r="P220" s="4"/>
      <c r="Q220" s="4"/>
      <c r="R220" s="4"/>
      <c r="S220" s="4" t="s">
        <v>13</v>
      </c>
      <c r="T220" s="4"/>
      <c r="U220" s="4" t="s">
        <v>13</v>
      </c>
      <c r="V220" s="4"/>
      <c r="W220" s="4"/>
      <c r="X220" s="4"/>
      <c r="Y220" s="4"/>
      <c r="Z220" s="4"/>
      <c r="AA220" s="4"/>
      <c r="AB220" s="4"/>
      <c r="AC220" s="4"/>
      <c r="AD220" s="4"/>
      <c r="AE220" s="4" t="s">
        <v>13</v>
      </c>
      <c r="AF220" s="4"/>
      <c r="AG220" s="4"/>
      <c r="AH220" s="4"/>
      <c r="AI220" s="4"/>
      <c r="AJ220" s="4"/>
      <c r="AK220" s="4" t="s">
        <v>13</v>
      </c>
      <c r="AL220" s="4"/>
      <c r="AM220" s="4"/>
      <c r="AN220" s="4"/>
      <c r="AO220" s="4"/>
      <c r="AP220" s="4" t="s">
        <v>13</v>
      </c>
      <c r="AQ220" s="4"/>
      <c r="AR220" s="4"/>
      <c r="AS220" s="13"/>
      <c r="AT220" s="12" t="s">
        <v>355</v>
      </c>
      <c r="AU220" s="4" t="s">
        <v>369</v>
      </c>
      <c r="AV220" s="4" t="s">
        <v>684</v>
      </c>
      <c r="AW220" s="4" t="s">
        <v>687</v>
      </c>
      <c r="AX220" s="4" t="s">
        <v>690</v>
      </c>
      <c r="AY220" s="4" t="s">
        <v>371</v>
      </c>
      <c r="AZ220" s="13" t="s">
        <v>14</v>
      </c>
      <c r="BA220" s="4" t="s">
        <v>427</v>
      </c>
      <c r="BB220" s="4" t="s">
        <v>375</v>
      </c>
      <c r="BC220" s="13" t="s">
        <v>436</v>
      </c>
      <c r="BD220" s="4">
        <v>6</v>
      </c>
      <c r="BE220" s="4" t="s">
        <v>454</v>
      </c>
      <c r="BF220" s="13" t="s">
        <v>454</v>
      </c>
      <c r="BG220" s="3"/>
    </row>
    <row r="221" spans="1:59" ht="28.5" hidden="1">
      <c r="A221" s="4">
        <v>218</v>
      </c>
      <c r="B221" s="4" t="s">
        <v>8</v>
      </c>
      <c r="C221" s="4" t="s">
        <v>6</v>
      </c>
      <c r="D221" s="4">
        <v>2018</v>
      </c>
      <c r="E221" s="1" t="s">
        <v>515</v>
      </c>
      <c r="F221" s="13" t="s">
        <v>100</v>
      </c>
      <c r="G221" s="4"/>
      <c r="L221" s="6" t="s">
        <v>256</v>
      </c>
      <c r="M221" s="4" t="s">
        <v>266</v>
      </c>
      <c r="N221" s="13" t="s">
        <v>268</v>
      </c>
      <c r="O221" s="4"/>
      <c r="P221" s="4"/>
      <c r="Q221" s="4"/>
      <c r="R221" s="4" t="s">
        <v>13</v>
      </c>
      <c r="S221" s="4"/>
      <c r="T221" s="4"/>
      <c r="U221" s="4"/>
      <c r="V221" s="4"/>
      <c r="W221" s="4"/>
      <c r="X221" s="4"/>
      <c r="Y221" s="4"/>
      <c r="Z221" s="4" t="s">
        <v>13</v>
      </c>
      <c r="AA221" s="4"/>
      <c r="AB221" s="4"/>
      <c r="AC221" s="4"/>
      <c r="AD221" s="4"/>
      <c r="AE221" s="4"/>
      <c r="AF221" s="4"/>
      <c r="AG221" s="4" t="s">
        <v>13</v>
      </c>
      <c r="AH221" s="4"/>
      <c r="AI221" s="4"/>
      <c r="AJ221" s="4"/>
      <c r="AK221" s="4"/>
      <c r="AL221" s="4"/>
      <c r="AM221" s="4" t="s">
        <v>13</v>
      </c>
      <c r="AN221" s="4"/>
      <c r="AO221" s="4"/>
      <c r="AP221" s="4"/>
      <c r="AQ221" s="4"/>
      <c r="AR221" s="4"/>
      <c r="AS221" s="13"/>
      <c r="AT221" s="4" t="s">
        <v>363</v>
      </c>
      <c r="AU221" s="4" t="s">
        <v>369</v>
      </c>
      <c r="AV221" s="4" t="s">
        <v>684</v>
      </c>
      <c r="AW221" s="4" t="s">
        <v>687</v>
      </c>
      <c r="AX221" s="4" t="s">
        <v>690</v>
      </c>
      <c r="AY221" s="4" t="s">
        <v>371</v>
      </c>
      <c r="AZ221" s="13" t="s">
        <v>14</v>
      </c>
      <c r="BA221" s="4" t="s">
        <v>427</v>
      </c>
      <c r="BB221" s="4" t="s">
        <v>268</v>
      </c>
      <c r="BC221" s="13" t="s">
        <v>400</v>
      </c>
      <c r="BD221" s="4">
        <v>3</v>
      </c>
      <c r="BE221" s="4" t="s">
        <v>457</v>
      </c>
      <c r="BF221" s="13" t="s">
        <v>456</v>
      </c>
      <c r="BG221" s="3"/>
    </row>
    <row r="222" spans="1:59" ht="28.5" hidden="1">
      <c r="A222" s="4">
        <v>219</v>
      </c>
      <c r="B222" s="4" t="s">
        <v>8</v>
      </c>
      <c r="C222" s="4" t="s">
        <v>6</v>
      </c>
      <c r="D222" s="4">
        <v>2018</v>
      </c>
      <c r="E222" s="1" t="s">
        <v>516</v>
      </c>
      <c r="F222" s="13" t="s">
        <v>100</v>
      </c>
      <c r="G222" s="4"/>
      <c r="L222" s="6" t="s">
        <v>252</v>
      </c>
      <c r="M222" s="4" t="s">
        <v>266</v>
      </c>
      <c r="N222" s="13" t="s">
        <v>268</v>
      </c>
      <c r="O222" s="4"/>
      <c r="P222" s="4"/>
      <c r="Q222" s="4" t="s">
        <v>13</v>
      </c>
      <c r="R222" s="4"/>
      <c r="S222" s="4"/>
      <c r="T222" s="4"/>
      <c r="U222" s="4"/>
      <c r="V222" s="4"/>
      <c r="W222" s="4"/>
      <c r="X222" s="4" t="s">
        <v>13</v>
      </c>
      <c r="Y222" s="4" t="s">
        <v>13</v>
      </c>
      <c r="Z222" s="4" t="s">
        <v>566</v>
      </c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 t="s">
        <v>13</v>
      </c>
      <c r="AL222" s="4" t="s">
        <v>13</v>
      </c>
      <c r="AM222" s="4"/>
      <c r="AN222" s="4"/>
      <c r="AO222" s="4"/>
      <c r="AP222" s="4"/>
      <c r="AQ222" s="4"/>
      <c r="AR222" s="4"/>
      <c r="AS222" s="13"/>
      <c r="AT222" s="4" t="s">
        <v>349</v>
      </c>
      <c r="AU222" s="4" t="s">
        <v>369</v>
      </c>
      <c r="AV222" s="4" t="s">
        <v>684</v>
      </c>
      <c r="AW222" s="4" t="s">
        <v>687</v>
      </c>
      <c r="AX222" s="4" t="s">
        <v>690</v>
      </c>
      <c r="AY222" s="4" t="s">
        <v>371</v>
      </c>
      <c r="AZ222" s="13" t="s">
        <v>14</v>
      </c>
      <c r="BA222" s="4" t="s">
        <v>427</v>
      </c>
      <c r="BB222" s="4" t="s">
        <v>268</v>
      </c>
      <c r="BC222" s="13" t="s">
        <v>400</v>
      </c>
      <c r="BD222" s="4">
        <v>1</v>
      </c>
      <c r="BE222" s="4" t="s">
        <v>455</v>
      </c>
      <c r="BF222" s="13" t="s">
        <v>456</v>
      </c>
      <c r="BG222" s="3"/>
    </row>
    <row r="223" spans="1:59" ht="42.75">
      <c r="A223" s="4">
        <v>220</v>
      </c>
      <c r="B223" s="4" t="s">
        <v>8</v>
      </c>
      <c r="C223" s="4" t="s">
        <v>6</v>
      </c>
      <c r="D223" s="4">
        <v>2020</v>
      </c>
      <c r="E223" s="1" t="s">
        <v>517</v>
      </c>
      <c r="F223" s="13" t="s">
        <v>518</v>
      </c>
      <c r="G223" s="4"/>
      <c r="L223" s="6" t="s">
        <v>256</v>
      </c>
      <c r="M223" s="4" t="s">
        <v>569</v>
      </c>
      <c r="N223" s="13" t="s">
        <v>571</v>
      </c>
      <c r="O223" s="4" t="s">
        <v>13</v>
      </c>
      <c r="P223" s="4"/>
      <c r="Q223" s="4"/>
      <c r="R223" s="4"/>
      <c r="S223" s="4"/>
      <c r="T223" s="4" t="s">
        <v>13</v>
      </c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 t="s">
        <v>13</v>
      </c>
      <c r="AH223" s="4"/>
      <c r="AI223" s="4"/>
      <c r="AJ223" s="4"/>
      <c r="AK223" s="4"/>
      <c r="AL223" s="4" t="s">
        <v>13</v>
      </c>
      <c r="AM223" s="4"/>
      <c r="AN223" s="4"/>
      <c r="AO223" s="4"/>
      <c r="AP223" s="4"/>
      <c r="AQ223" s="4" t="s">
        <v>13</v>
      </c>
      <c r="AR223" s="4"/>
      <c r="AS223" s="13"/>
      <c r="AT223" s="4" t="s">
        <v>355</v>
      </c>
      <c r="AU223" s="4" t="s">
        <v>368</v>
      </c>
      <c r="AV223" s="4" t="s">
        <v>685</v>
      </c>
      <c r="AW223" s="4" t="s">
        <v>688</v>
      </c>
      <c r="AX223" s="4" t="s">
        <v>691</v>
      </c>
      <c r="AY223" s="4" t="s">
        <v>371</v>
      </c>
      <c r="AZ223" s="13" t="s">
        <v>14</v>
      </c>
      <c r="BA223" s="4" t="s">
        <v>427</v>
      </c>
      <c r="BB223" s="4" t="s">
        <v>449</v>
      </c>
      <c r="BC223" s="13" t="s">
        <v>453</v>
      </c>
      <c r="BD223" s="4">
        <v>4</v>
      </c>
      <c r="BE223" s="4" t="s">
        <v>457</v>
      </c>
      <c r="BF223" s="13" t="s">
        <v>457</v>
      </c>
      <c r="BG223" s="3"/>
    </row>
    <row r="224" spans="1:59" ht="42.75" hidden="1">
      <c r="A224" s="4">
        <v>221</v>
      </c>
      <c r="B224" s="4" t="s">
        <v>8</v>
      </c>
      <c r="C224" s="4" t="s">
        <v>6</v>
      </c>
      <c r="D224" s="4">
        <v>2020</v>
      </c>
      <c r="E224" s="1" t="s">
        <v>519</v>
      </c>
      <c r="F224" s="13" t="s">
        <v>100</v>
      </c>
      <c r="G224" s="4"/>
      <c r="L224" s="6" t="s">
        <v>258</v>
      </c>
      <c r="M224" s="4" t="s">
        <v>570</v>
      </c>
      <c r="N224" s="13" t="s">
        <v>289</v>
      </c>
      <c r="O224" s="4" t="s">
        <v>13</v>
      </c>
      <c r="P224" s="4"/>
      <c r="Q224" s="4"/>
      <c r="R224" s="4"/>
      <c r="S224" s="4"/>
      <c r="T224" s="4" t="s">
        <v>13</v>
      </c>
      <c r="U224" s="4"/>
      <c r="V224" s="4"/>
      <c r="W224" s="4"/>
      <c r="X224" s="4"/>
      <c r="Y224" s="4"/>
      <c r="Z224" s="4"/>
      <c r="AA224" s="4"/>
      <c r="AB224" s="4" t="s">
        <v>13</v>
      </c>
      <c r="AC224" s="4" t="s">
        <v>13</v>
      </c>
      <c r="AD224" s="4"/>
      <c r="AE224" s="4" t="s">
        <v>13</v>
      </c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 t="s">
        <v>13</v>
      </c>
      <c r="AS224" s="13"/>
      <c r="AT224" s="4" t="s">
        <v>359</v>
      </c>
      <c r="AU224" s="4" t="s">
        <v>368</v>
      </c>
      <c r="AV224" s="4" t="s">
        <v>684</v>
      </c>
      <c r="AW224" s="4" t="s">
        <v>687</v>
      </c>
      <c r="AX224" s="4" t="s">
        <v>690</v>
      </c>
      <c r="AY224" s="4" t="s">
        <v>371</v>
      </c>
      <c r="AZ224" s="13" t="s">
        <v>14</v>
      </c>
      <c r="BA224" s="4" t="s">
        <v>387</v>
      </c>
      <c r="BB224" s="4" t="s">
        <v>402</v>
      </c>
      <c r="BC224" s="13" t="s">
        <v>453</v>
      </c>
      <c r="BD224" s="4">
        <v>3</v>
      </c>
      <c r="BE224" s="4" t="s">
        <v>457</v>
      </c>
      <c r="BF224" s="13" t="s">
        <v>456</v>
      </c>
      <c r="BG224" s="3"/>
    </row>
    <row r="225" spans="1:59" ht="28.5" hidden="1">
      <c r="A225" s="4">
        <v>222</v>
      </c>
      <c r="B225" s="4" t="s">
        <v>8</v>
      </c>
      <c r="C225" s="4" t="s">
        <v>6</v>
      </c>
      <c r="D225" s="4">
        <v>2020</v>
      </c>
      <c r="E225" s="1" t="s">
        <v>520</v>
      </c>
      <c r="F225" s="13" t="s">
        <v>100</v>
      </c>
      <c r="G225" s="4"/>
      <c r="L225" s="6" t="s">
        <v>256</v>
      </c>
      <c r="M225" s="4" t="s">
        <v>266</v>
      </c>
      <c r="N225" s="13" t="s">
        <v>289</v>
      </c>
      <c r="O225" s="4" t="s">
        <v>13</v>
      </c>
      <c r="P225" s="4"/>
      <c r="Q225" s="4"/>
      <c r="R225" s="4"/>
      <c r="S225" s="4"/>
      <c r="T225" s="4"/>
      <c r="U225" s="4"/>
      <c r="V225" s="4"/>
      <c r="W225" s="4"/>
      <c r="X225" s="4"/>
      <c r="Y225" s="4" t="s">
        <v>13</v>
      </c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 t="s">
        <v>13</v>
      </c>
      <c r="AO225" s="4"/>
      <c r="AP225" s="4"/>
      <c r="AQ225" s="4"/>
      <c r="AR225" s="4"/>
      <c r="AS225" s="13"/>
      <c r="AT225" s="4" t="s">
        <v>352</v>
      </c>
      <c r="AU225" s="4" t="s">
        <v>369</v>
      </c>
      <c r="AV225" s="4" t="s">
        <v>684</v>
      </c>
      <c r="AW225" s="4" t="s">
        <v>687</v>
      </c>
      <c r="AX225" s="4" t="s">
        <v>690</v>
      </c>
      <c r="AY225" s="4" t="s">
        <v>371</v>
      </c>
      <c r="AZ225" s="13" t="s">
        <v>14</v>
      </c>
      <c r="BA225" s="4" t="s">
        <v>387</v>
      </c>
      <c r="BB225" s="4" t="s">
        <v>375</v>
      </c>
      <c r="BC225" s="13" t="s">
        <v>400</v>
      </c>
      <c r="BD225" s="4">
        <v>6</v>
      </c>
      <c r="BE225" s="4" t="s">
        <v>454</v>
      </c>
      <c r="BF225" s="13" t="s">
        <v>454</v>
      </c>
      <c r="BG225" s="3"/>
    </row>
    <row r="226" spans="1:59" ht="28.5" hidden="1">
      <c r="A226" s="4">
        <v>223</v>
      </c>
      <c r="B226" s="4" t="s">
        <v>8</v>
      </c>
      <c r="C226" s="4" t="s">
        <v>6</v>
      </c>
      <c r="D226" s="4">
        <v>2020</v>
      </c>
      <c r="E226" s="1" t="s">
        <v>523</v>
      </c>
      <c r="F226" s="13" t="s">
        <v>100</v>
      </c>
      <c r="G226" s="4"/>
      <c r="L226" s="6" t="s">
        <v>256</v>
      </c>
      <c r="M226" s="4" t="s">
        <v>266</v>
      </c>
      <c r="N226" s="13" t="s">
        <v>571</v>
      </c>
      <c r="O226" s="4" t="s">
        <v>13</v>
      </c>
      <c r="P226" s="4"/>
      <c r="Q226" s="4"/>
      <c r="R226" s="4"/>
      <c r="S226" s="4" t="s">
        <v>13</v>
      </c>
      <c r="T226" s="4" t="s">
        <v>13</v>
      </c>
      <c r="U226" s="4" t="s">
        <v>13</v>
      </c>
      <c r="V226" s="4"/>
      <c r="W226" s="4"/>
      <c r="X226" s="4" t="s">
        <v>13</v>
      </c>
      <c r="Y226" s="4"/>
      <c r="Z226" s="4"/>
      <c r="AA226" s="4"/>
      <c r="AB226" s="4"/>
      <c r="AC226" s="4"/>
      <c r="AD226" s="4" t="s">
        <v>13</v>
      </c>
      <c r="AE226" s="4"/>
      <c r="AF226" s="4"/>
      <c r="AG226" s="4"/>
      <c r="AH226" s="4"/>
      <c r="AI226" s="4"/>
      <c r="AJ226" s="4"/>
      <c r="AK226" s="4"/>
      <c r="AL226" s="4"/>
      <c r="AM226" s="4" t="s">
        <v>13</v>
      </c>
      <c r="AN226" s="4"/>
      <c r="AO226" s="4"/>
      <c r="AP226" s="4"/>
      <c r="AQ226" s="4"/>
      <c r="AR226" s="4"/>
      <c r="AS226" s="13"/>
      <c r="AT226" s="12" t="s">
        <v>349</v>
      </c>
      <c r="AU226" s="4" t="s">
        <v>369</v>
      </c>
      <c r="AV226" s="4" t="s">
        <v>684</v>
      </c>
      <c r="AW226" s="4" t="s">
        <v>687</v>
      </c>
      <c r="AX226" s="4" t="s">
        <v>690</v>
      </c>
      <c r="AY226" s="4" t="s">
        <v>371</v>
      </c>
      <c r="AZ226" s="13" t="s">
        <v>14</v>
      </c>
      <c r="BA226" s="4" t="s">
        <v>389</v>
      </c>
      <c r="BB226" s="4" t="s">
        <v>375</v>
      </c>
      <c r="BC226" s="13" t="s">
        <v>433</v>
      </c>
      <c r="BD226" s="4">
        <v>4</v>
      </c>
      <c r="BE226" s="4" t="s">
        <v>457</v>
      </c>
      <c r="BF226" s="13" t="s">
        <v>456</v>
      </c>
      <c r="BG226" s="3"/>
    </row>
    <row r="227" spans="1:59" ht="28.5">
      <c r="A227" s="4">
        <v>224</v>
      </c>
      <c r="B227" s="4" t="s">
        <v>8</v>
      </c>
      <c r="C227" s="4" t="s">
        <v>6</v>
      </c>
      <c r="D227" s="4">
        <v>2020</v>
      </c>
      <c r="E227" s="1" t="s">
        <v>524</v>
      </c>
      <c r="F227" s="13" t="s">
        <v>100</v>
      </c>
      <c r="G227" s="4"/>
      <c r="L227" s="6" t="s">
        <v>256</v>
      </c>
      <c r="M227" s="6" t="s">
        <v>298</v>
      </c>
      <c r="N227" s="13" t="s">
        <v>571</v>
      </c>
      <c r="O227" s="4" t="s">
        <v>13</v>
      </c>
      <c r="P227" s="4"/>
      <c r="Q227" s="4"/>
      <c r="R227" s="4"/>
      <c r="S227" s="4"/>
      <c r="T227" s="4" t="s">
        <v>13</v>
      </c>
      <c r="U227" s="4"/>
      <c r="V227" s="4"/>
      <c r="W227" s="4" t="s">
        <v>13</v>
      </c>
      <c r="X227" s="4"/>
      <c r="Y227" s="4" t="s">
        <v>13</v>
      </c>
      <c r="Z227" s="4" t="s">
        <v>13</v>
      </c>
      <c r="AA227" s="4"/>
      <c r="AB227" s="4"/>
      <c r="AC227" s="4"/>
      <c r="AD227" s="4"/>
      <c r="AE227" s="4" t="s">
        <v>13</v>
      </c>
      <c r="AF227" s="4"/>
      <c r="AG227" s="4"/>
      <c r="AH227" s="4"/>
      <c r="AI227" s="4"/>
      <c r="AJ227" s="4"/>
      <c r="AK227" s="4" t="s">
        <v>13</v>
      </c>
      <c r="AL227" s="4" t="s">
        <v>13</v>
      </c>
      <c r="AM227" s="4"/>
      <c r="AN227" s="4"/>
      <c r="AO227" s="4"/>
      <c r="AP227" s="4"/>
      <c r="AQ227" s="4"/>
      <c r="AR227" s="4"/>
      <c r="AS227" s="13"/>
      <c r="AT227" s="12" t="s">
        <v>562</v>
      </c>
      <c r="AU227" s="4" t="s">
        <v>370</v>
      </c>
      <c r="AV227" s="4" t="s">
        <v>685</v>
      </c>
      <c r="AW227" s="4" t="s">
        <v>687</v>
      </c>
      <c r="AX227" s="4" t="s">
        <v>690</v>
      </c>
      <c r="AY227" s="4" t="s">
        <v>371</v>
      </c>
      <c r="AZ227" s="13" t="s">
        <v>14</v>
      </c>
      <c r="BA227" s="4" t="s">
        <v>387</v>
      </c>
      <c r="BB227" s="4" t="s">
        <v>572</v>
      </c>
      <c r="BC227" s="13" t="s">
        <v>564</v>
      </c>
      <c r="BD227" s="4">
        <v>5</v>
      </c>
      <c r="BE227" s="4" t="s">
        <v>454</v>
      </c>
      <c r="BF227" s="13" t="s">
        <v>456</v>
      </c>
      <c r="BG227" s="3"/>
    </row>
    <row r="228" spans="1:59" ht="42.75" hidden="1">
      <c r="A228" s="4">
        <v>225</v>
      </c>
      <c r="B228" s="4" t="s">
        <v>8</v>
      </c>
      <c r="C228" s="4" t="s">
        <v>6</v>
      </c>
      <c r="D228" s="4">
        <v>2020</v>
      </c>
      <c r="E228" s="45" t="s">
        <v>525</v>
      </c>
      <c r="F228" s="13" t="s">
        <v>100</v>
      </c>
      <c r="G228" s="4"/>
      <c r="L228" s="6" t="s">
        <v>254</v>
      </c>
      <c r="M228" s="4" t="s">
        <v>266</v>
      </c>
      <c r="N228" s="13" t="s">
        <v>296</v>
      </c>
      <c r="O228" s="4"/>
      <c r="P228" s="4" t="s">
        <v>13</v>
      </c>
      <c r="Q228" s="4"/>
      <c r="R228" s="4"/>
      <c r="S228" s="4" t="s">
        <v>13</v>
      </c>
      <c r="T228" s="4"/>
      <c r="U228" s="4" t="s">
        <v>13</v>
      </c>
      <c r="V228" s="4"/>
      <c r="W228" s="4"/>
      <c r="X228" s="4"/>
      <c r="Y228" s="4"/>
      <c r="Z228" s="4"/>
      <c r="AA228" s="4"/>
      <c r="AB228" s="4" t="s">
        <v>13</v>
      </c>
      <c r="AC228" s="4"/>
      <c r="AD228" s="4" t="s">
        <v>13</v>
      </c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13"/>
      <c r="AT228" s="4" t="s">
        <v>573</v>
      </c>
      <c r="AU228" s="4" t="s">
        <v>369</v>
      </c>
      <c r="AV228" s="4" t="s">
        <v>684</v>
      </c>
      <c r="AW228" s="4" t="s">
        <v>687</v>
      </c>
      <c r="AX228" s="4" t="s">
        <v>690</v>
      </c>
      <c r="AY228" s="4" t="s">
        <v>371</v>
      </c>
      <c r="AZ228" s="13" t="s">
        <v>14</v>
      </c>
      <c r="BA228" s="4" t="s">
        <v>435</v>
      </c>
      <c r="BB228" s="4" t="s">
        <v>375</v>
      </c>
      <c r="BC228" s="13" t="s">
        <v>436</v>
      </c>
      <c r="BD228" s="4">
        <v>4</v>
      </c>
      <c r="BE228" s="4" t="s">
        <v>457</v>
      </c>
      <c r="BF228" s="13" t="s">
        <v>456</v>
      </c>
      <c r="BG228" s="3"/>
    </row>
    <row r="229" spans="1:59" ht="28.5" hidden="1">
      <c r="A229" s="4">
        <v>226</v>
      </c>
      <c r="B229" s="4" t="s">
        <v>8</v>
      </c>
      <c r="C229" s="4" t="s">
        <v>6</v>
      </c>
      <c r="D229" s="4">
        <v>2021</v>
      </c>
      <c r="E229" s="1" t="s">
        <v>522</v>
      </c>
      <c r="F229" s="13" t="s">
        <v>521</v>
      </c>
      <c r="G229" s="4"/>
      <c r="L229" s="6" t="s">
        <v>256</v>
      </c>
      <c r="M229" s="4" t="s">
        <v>266</v>
      </c>
      <c r="N229" s="13" t="s">
        <v>289</v>
      </c>
      <c r="O229" s="4"/>
      <c r="P229" s="4"/>
      <c r="Q229" s="4"/>
      <c r="R229" s="4" t="s">
        <v>13</v>
      </c>
      <c r="S229" s="4"/>
      <c r="T229" s="4"/>
      <c r="U229" s="4" t="s">
        <v>13</v>
      </c>
      <c r="V229" s="4" t="s">
        <v>13</v>
      </c>
      <c r="W229" s="4"/>
      <c r="X229" s="4"/>
      <c r="Y229" s="4"/>
      <c r="Z229" s="4"/>
      <c r="AA229" s="4"/>
      <c r="AB229" s="4" t="s">
        <v>13</v>
      </c>
      <c r="AC229" s="4"/>
      <c r="AD229" s="4"/>
      <c r="AE229" s="4"/>
      <c r="AF229" s="4"/>
      <c r="AG229" s="4"/>
      <c r="AH229" s="4"/>
      <c r="AI229" s="4"/>
      <c r="AJ229" s="4"/>
      <c r="AK229" s="4"/>
      <c r="AL229" s="4" t="s">
        <v>13</v>
      </c>
      <c r="AM229" s="4"/>
      <c r="AN229" s="4"/>
      <c r="AO229" s="4"/>
      <c r="AP229" s="4"/>
      <c r="AQ229" s="4"/>
      <c r="AR229" s="4"/>
      <c r="AS229" s="13" t="s">
        <v>13</v>
      </c>
      <c r="AT229" s="12" t="s">
        <v>562</v>
      </c>
      <c r="AU229" s="4" t="s">
        <v>369</v>
      </c>
      <c r="AV229" s="4" t="s">
        <v>684</v>
      </c>
      <c r="AW229" s="4" t="s">
        <v>687</v>
      </c>
      <c r="AX229" s="4" t="s">
        <v>690</v>
      </c>
      <c r="AY229" s="4" t="s">
        <v>371</v>
      </c>
      <c r="AZ229" s="13" t="s">
        <v>14</v>
      </c>
      <c r="BA229" s="4" t="s">
        <v>427</v>
      </c>
      <c r="BB229" s="4" t="s">
        <v>375</v>
      </c>
      <c r="BC229" s="13" t="s">
        <v>400</v>
      </c>
      <c r="BD229" s="4">
        <v>3</v>
      </c>
      <c r="BE229" s="4" t="s">
        <v>457</v>
      </c>
      <c r="BF229" s="13" t="s">
        <v>456</v>
      </c>
      <c r="BG229" s="3"/>
    </row>
    <row r="230" spans="1:59" ht="42.75" hidden="1">
      <c r="A230" s="4">
        <v>227</v>
      </c>
      <c r="B230" s="4" t="s">
        <v>8</v>
      </c>
      <c r="C230" s="4" t="s">
        <v>5</v>
      </c>
      <c r="D230" s="4">
        <v>2021</v>
      </c>
      <c r="E230" s="1" t="s">
        <v>526</v>
      </c>
      <c r="F230" s="13" t="s">
        <v>527</v>
      </c>
      <c r="G230" s="4"/>
      <c r="L230" s="6" t="s">
        <v>254</v>
      </c>
      <c r="M230" s="4" t="s">
        <v>266</v>
      </c>
      <c r="N230" s="13" t="s">
        <v>296</v>
      </c>
      <c r="O230" s="4"/>
      <c r="P230" s="4" t="s">
        <v>13</v>
      </c>
      <c r="Q230" s="4"/>
      <c r="R230" s="4"/>
      <c r="S230" s="4" t="s">
        <v>13</v>
      </c>
      <c r="T230" s="4"/>
      <c r="U230" s="4" t="s">
        <v>13</v>
      </c>
      <c r="V230" s="4"/>
      <c r="W230" s="4"/>
      <c r="X230" s="4"/>
      <c r="Y230" s="4"/>
      <c r="Z230" s="4"/>
      <c r="AA230" s="4"/>
      <c r="AB230" s="4" t="s">
        <v>13</v>
      </c>
      <c r="AC230" s="4"/>
      <c r="AD230" s="4" t="s">
        <v>13</v>
      </c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13"/>
      <c r="AT230" s="4" t="s">
        <v>573</v>
      </c>
      <c r="AU230" s="4" t="s">
        <v>369</v>
      </c>
      <c r="AV230" s="4" t="s">
        <v>684</v>
      </c>
      <c r="AW230" s="4" t="s">
        <v>687</v>
      </c>
      <c r="AX230" s="4" t="s">
        <v>690</v>
      </c>
      <c r="AY230" s="4" t="s">
        <v>371</v>
      </c>
      <c r="AZ230" s="13" t="s">
        <v>14</v>
      </c>
      <c r="BA230" s="4" t="s">
        <v>435</v>
      </c>
      <c r="BB230" s="4" t="s">
        <v>375</v>
      </c>
      <c r="BC230" s="13" t="s">
        <v>436</v>
      </c>
      <c r="BD230" s="4">
        <v>4</v>
      </c>
      <c r="BE230" s="4" t="s">
        <v>457</v>
      </c>
      <c r="BF230" s="13" t="s">
        <v>456</v>
      </c>
      <c r="BG230" s="3"/>
    </row>
    <row r="231" spans="1:59" ht="28.5">
      <c r="A231" s="4">
        <v>228</v>
      </c>
      <c r="B231" s="4" t="s">
        <v>8</v>
      </c>
      <c r="C231" s="4" t="s">
        <v>5</v>
      </c>
      <c r="D231" s="4">
        <v>2022</v>
      </c>
      <c r="E231" s="1" t="s">
        <v>528</v>
      </c>
      <c r="F231" s="13" t="s">
        <v>529</v>
      </c>
      <c r="G231" s="4"/>
      <c r="L231" s="6" t="s">
        <v>252</v>
      </c>
      <c r="M231" s="4" t="s">
        <v>298</v>
      </c>
      <c r="N231" s="13" t="s">
        <v>571</v>
      </c>
      <c r="O231" s="4" t="s">
        <v>13</v>
      </c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 t="s">
        <v>13</v>
      </c>
      <c r="AB231" s="4"/>
      <c r="AC231" s="4" t="s">
        <v>13</v>
      </c>
      <c r="AD231" s="4"/>
      <c r="AE231" s="4" t="s">
        <v>13</v>
      </c>
      <c r="AF231" s="4"/>
      <c r="AG231" s="4"/>
      <c r="AH231" s="4"/>
      <c r="AI231" s="4"/>
      <c r="AJ231" s="4"/>
      <c r="AK231" s="4" t="s">
        <v>13</v>
      </c>
      <c r="AL231" s="4" t="s">
        <v>13</v>
      </c>
      <c r="AM231" s="4"/>
      <c r="AN231" s="4"/>
      <c r="AO231" s="4"/>
      <c r="AP231" s="4"/>
      <c r="AQ231" s="4"/>
      <c r="AR231" s="4"/>
      <c r="AS231" s="13"/>
      <c r="AT231" s="4" t="s">
        <v>359</v>
      </c>
      <c r="AU231" s="4" t="s">
        <v>369</v>
      </c>
      <c r="AV231" s="4" t="s">
        <v>685</v>
      </c>
      <c r="AW231" s="4" t="s">
        <v>687</v>
      </c>
      <c r="AX231" s="4" t="s">
        <v>690</v>
      </c>
      <c r="AY231" s="4" t="s">
        <v>371</v>
      </c>
      <c r="AZ231" s="4" t="s">
        <v>14</v>
      </c>
      <c r="BA231" s="6" t="s">
        <v>574</v>
      </c>
      <c r="BB231" s="4" t="s">
        <v>412</v>
      </c>
      <c r="BC231" s="13" t="s">
        <v>564</v>
      </c>
      <c r="BD231" s="6">
        <v>6</v>
      </c>
      <c r="BE231" s="4" t="s">
        <v>454</v>
      </c>
      <c r="BF231" s="13" t="s">
        <v>457</v>
      </c>
    </row>
    <row r="232" spans="1:59" ht="28.5" hidden="1">
      <c r="A232" s="4">
        <v>229</v>
      </c>
      <c r="B232" s="4" t="s">
        <v>8</v>
      </c>
      <c r="C232" s="4" t="s">
        <v>6</v>
      </c>
      <c r="D232" s="4">
        <v>2022</v>
      </c>
      <c r="E232" s="1" t="s">
        <v>530</v>
      </c>
      <c r="F232" s="13" t="s">
        <v>100</v>
      </c>
      <c r="G232" s="4"/>
      <c r="L232" s="6" t="s">
        <v>260</v>
      </c>
      <c r="M232" s="4" t="s">
        <v>298</v>
      </c>
      <c r="N232" s="13" t="s">
        <v>308</v>
      </c>
      <c r="O232" s="4"/>
      <c r="P232" s="4"/>
      <c r="Q232" s="4"/>
      <c r="R232" s="4" t="s">
        <v>13</v>
      </c>
      <c r="S232" s="4"/>
      <c r="T232" s="4"/>
      <c r="U232" s="4"/>
      <c r="V232" s="4"/>
      <c r="W232" s="4"/>
      <c r="X232" s="4"/>
      <c r="Y232" s="4"/>
      <c r="Z232" s="4"/>
      <c r="AA232" s="4"/>
      <c r="AB232" s="4" t="s">
        <v>13</v>
      </c>
      <c r="AC232" s="4"/>
      <c r="AD232" s="4" t="s">
        <v>13</v>
      </c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 t="s">
        <v>13</v>
      </c>
      <c r="AS232" s="13"/>
      <c r="AT232" s="6" t="s">
        <v>359</v>
      </c>
      <c r="AU232" s="4" t="s">
        <v>369</v>
      </c>
      <c r="AV232" s="4" t="s">
        <v>684</v>
      </c>
      <c r="AW232" s="4" t="s">
        <v>687</v>
      </c>
      <c r="AX232" s="4" t="s">
        <v>690</v>
      </c>
      <c r="AY232" s="4" t="s">
        <v>371</v>
      </c>
      <c r="AZ232" s="4" t="s">
        <v>14</v>
      </c>
      <c r="BA232" s="6" t="s">
        <v>574</v>
      </c>
      <c r="BB232" s="4" t="s">
        <v>412</v>
      </c>
      <c r="BC232" s="13" t="s">
        <v>564</v>
      </c>
      <c r="BD232" s="6">
        <v>4</v>
      </c>
      <c r="BE232" s="4" t="s">
        <v>457</v>
      </c>
      <c r="BF232" s="13" t="s">
        <v>457</v>
      </c>
      <c r="BG232" s="3"/>
    </row>
    <row r="233" spans="1:59" ht="42.75" hidden="1">
      <c r="A233" s="4">
        <v>230</v>
      </c>
      <c r="C233" s="4" t="s">
        <v>5</v>
      </c>
      <c r="D233" s="4">
        <v>2015</v>
      </c>
      <c r="E233" s="1" t="s">
        <v>531</v>
      </c>
      <c r="F233" s="13" t="s">
        <v>532</v>
      </c>
      <c r="G233" s="4"/>
      <c r="K233" s="6"/>
      <c r="L233" s="6" t="s">
        <v>252</v>
      </c>
      <c r="M233" s="4" t="s">
        <v>266</v>
      </c>
      <c r="N233" s="13" t="s">
        <v>296</v>
      </c>
      <c r="O233" s="4"/>
      <c r="P233" s="4" t="s">
        <v>13</v>
      </c>
      <c r="Q233" s="4"/>
      <c r="R233" s="4"/>
      <c r="S233" s="4" t="s">
        <v>13</v>
      </c>
      <c r="T233" s="4"/>
      <c r="U233" s="4"/>
      <c r="V233" s="4"/>
      <c r="W233" s="4"/>
      <c r="X233" s="4"/>
      <c r="Y233" s="4"/>
      <c r="Z233" s="4"/>
      <c r="AA233" s="4" t="s">
        <v>13</v>
      </c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 t="s">
        <v>13</v>
      </c>
      <c r="AO233" s="4"/>
      <c r="AP233" s="4"/>
      <c r="AQ233" s="4"/>
      <c r="AR233" s="4"/>
      <c r="AS233" s="13"/>
      <c r="AT233" s="4" t="s">
        <v>573</v>
      </c>
      <c r="AU233" s="4" t="s">
        <v>369</v>
      </c>
      <c r="AV233" s="4" t="s">
        <v>684</v>
      </c>
      <c r="AW233" s="4" t="s">
        <v>687</v>
      </c>
      <c r="AX233" s="4" t="s">
        <v>690</v>
      </c>
      <c r="AY233" s="4" t="s">
        <v>371</v>
      </c>
      <c r="AZ233" s="13" t="s">
        <v>14</v>
      </c>
      <c r="BA233" s="4" t="s">
        <v>435</v>
      </c>
      <c r="BB233" s="4" t="s">
        <v>375</v>
      </c>
      <c r="BC233" s="13" t="s">
        <v>436</v>
      </c>
      <c r="BD233" s="4">
        <v>4</v>
      </c>
      <c r="BE233" s="4" t="s">
        <v>457</v>
      </c>
      <c r="BF233" s="13" t="s">
        <v>456</v>
      </c>
      <c r="BG233" s="3"/>
    </row>
    <row r="234" spans="1:59" ht="28.5" hidden="1">
      <c r="A234" s="4">
        <v>231</v>
      </c>
      <c r="B234" s="4" t="s">
        <v>9</v>
      </c>
      <c r="C234" s="4" t="s">
        <v>5</v>
      </c>
      <c r="D234" s="4">
        <v>2017</v>
      </c>
      <c r="E234" s="1" t="s">
        <v>533</v>
      </c>
      <c r="F234" s="13" t="s">
        <v>534</v>
      </c>
      <c r="G234" s="4"/>
      <c r="L234" s="6" t="s">
        <v>254</v>
      </c>
      <c r="M234" s="4" t="s">
        <v>267</v>
      </c>
      <c r="N234" s="13" t="s">
        <v>308</v>
      </c>
      <c r="O234" s="4"/>
      <c r="P234" s="4"/>
      <c r="Q234" s="4"/>
      <c r="R234" s="4" t="s">
        <v>13</v>
      </c>
      <c r="S234" s="4"/>
      <c r="T234" s="4"/>
      <c r="U234" s="4"/>
      <c r="V234" s="4"/>
      <c r="W234" s="4"/>
      <c r="X234" s="4"/>
      <c r="Y234" s="4"/>
      <c r="Z234" s="4" t="s">
        <v>13</v>
      </c>
      <c r="AA234" s="4"/>
      <c r="AB234" s="4" t="s">
        <v>13</v>
      </c>
      <c r="AC234" s="4"/>
      <c r="AD234" s="4"/>
      <c r="AE234" s="4"/>
      <c r="AF234" s="4"/>
      <c r="AG234" s="4"/>
      <c r="AH234" s="4"/>
      <c r="AI234" s="4"/>
      <c r="AJ234" s="4"/>
      <c r="AK234" s="4"/>
      <c r="AL234" s="4" t="s">
        <v>13</v>
      </c>
      <c r="AM234" s="4"/>
      <c r="AN234" s="4"/>
      <c r="AO234" s="4"/>
      <c r="AP234" s="4"/>
      <c r="AQ234" s="4"/>
      <c r="AR234" s="4" t="s">
        <v>13</v>
      </c>
      <c r="AS234" s="13"/>
      <c r="AT234" s="4" t="s">
        <v>575</v>
      </c>
      <c r="AU234" s="4" t="s">
        <v>369</v>
      </c>
      <c r="AV234" s="4" t="s">
        <v>684</v>
      </c>
      <c r="AW234" s="4" t="s">
        <v>688</v>
      </c>
      <c r="AX234" s="4" t="s">
        <v>690</v>
      </c>
      <c r="AY234" s="4" t="s">
        <v>371</v>
      </c>
      <c r="AZ234" s="13" t="s">
        <v>14</v>
      </c>
      <c r="BA234" s="4" t="s">
        <v>387</v>
      </c>
      <c r="BB234" s="4" t="s">
        <v>412</v>
      </c>
      <c r="BC234" s="13" t="s">
        <v>564</v>
      </c>
      <c r="BD234" s="6">
        <v>6</v>
      </c>
      <c r="BE234" s="4" t="s">
        <v>457</v>
      </c>
      <c r="BF234" s="13" t="s">
        <v>454</v>
      </c>
      <c r="BG234" s="3"/>
    </row>
    <row r="235" spans="1:59" ht="28.5" hidden="1">
      <c r="A235" s="4">
        <v>232</v>
      </c>
      <c r="B235" s="4" t="s">
        <v>8</v>
      </c>
      <c r="C235" s="4" t="s">
        <v>6</v>
      </c>
      <c r="D235" s="4">
        <v>2016</v>
      </c>
      <c r="E235" s="1" t="s">
        <v>535</v>
      </c>
      <c r="F235" s="13" t="s">
        <v>536</v>
      </c>
      <c r="G235" s="4"/>
      <c r="L235" s="6" t="s">
        <v>256</v>
      </c>
      <c r="M235" s="4" t="s">
        <v>266</v>
      </c>
      <c r="N235" s="13" t="s">
        <v>268</v>
      </c>
      <c r="O235" s="4" t="s">
        <v>13</v>
      </c>
      <c r="P235" s="4"/>
      <c r="Q235" s="4"/>
      <c r="R235" s="4"/>
      <c r="S235" s="4" t="s">
        <v>13</v>
      </c>
      <c r="T235" s="4"/>
      <c r="U235" s="4"/>
      <c r="V235" s="4"/>
      <c r="W235" s="4"/>
      <c r="X235" s="4"/>
      <c r="Y235" s="4"/>
      <c r="Z235" s="4"/>
      <c r="AA235" s="4"/>
      <c r="AB235" s="4"/>
      <c r="AC235" s="4" t="s">
        <v>13</v>
      </c>
      <c r="AD235" s="4"/>
      <c r="AE235" s="4"/>
      <c r="AF235" s="4"/>
      <c r="AG235" s="4"/>
      <c r="AH235" s="4"/>
      <c r="AI235" s="4"/>
      <c r="AJ235" s="4"/>
      <c r="AK235" s="4"/>
      <c r="AL235" s="4" t="s">
        <v>13</v>
      </c>
      <c r="AM235" s="4"/>
      <c r="AN235" s="4"/>
      <c r="AO235" s="4"/>
      <c r="AP235" s="4"/>
      <c r="AQ235" s="4" t="s">
        <v>13</v>
      </c>
      <c r="AR235" s="4"/>
      <c r="AS235" s="13"/>
      <c r="AT235" s="4" t="s">
        <v>573</v>
      </c>
      <c r="AU235" s="4" t="s">
        <v>369</v>
      </c>
      <c r="AV235" s="4" t="s">
        <v>684</v>
      </c>
      <c r="AW235" s="4" t="s">
        <v>687</v>
      </c>
      <c r="AX235" s="4" t="s">
        <v>690</v>
      </c>
      <c r="AY235" s="4" t="s">
        <v>371</v>
      </c>
      <c r="AZ235" s="13" t="s">
        <v>14</v>
      </c>
      <c r="BA235" s="4" t="s">
        <v>387</v>
      </c>
      <c r="BB235" s="4" t="s">
        <v>414</v>
      </c>
      <c r="BC235" s="13" t="s">
        <v>400</v>
      </c>
      <c r="BD235" s="4">
        <v>2</v>
      </c>
      <c r="BE235" s="4" t="s">
        <v>455</v>
      </c>
      <c r="BF235" s="13" t="s">
        <v>456</v>
      </c>
      <c r="BG235" s="3"/>
    </row>
    <row r="236" spans="1:59" ht="28.5" hidden="1">
      <c r="A236" s="4">
        <v>233</v>
      </c>
      <c r="B236" s="4" t="s">
        <v>10</v>
      </c>
      <c r="C236" s="4" t="s">
        <v>6</v>
      </c>
      <c r="D236" s="4">
        <v>2017</v>
      </c>
      <c r="E236" s="1" t="s">
        <v>537</v>
      </c>
      <c r="F236" s="13" t="s">
        <v>538</v>
      </c>
      <c r="G236" s="4"/>
      <c r="L236" s="6" t="s">
        <v>256</v>
      </c>
      <c r="M236" s="4" t="s">
        <v>303</v>
      </c>
      <c r="N236" s="13" t="s">
        <v>571</v>
      </c>
      <c r="O236" s="4" t="s">
        <v>13</v>
      </c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 t="s">
        <v>13</v>
      </c>
      <c r="AA236" s="4"/>
      <c r="AB236" s="4" t="s">
        <v>13</v>
      </c>
      <c r="AC236" s="4"/>
      <c r="AD236" s="4" t="s">
        <v>13</v>
      </c>
      <c r="AE236" s="4"/>
      <c r="AF236" s="4"/>
      <c r="AG236" s="4"/>
      <c r="AH236" s="4"/>
      <c r="AI236" s="4"/>
      <c r="AJ236" s="4"/>
      <c r="AK236" s="4"/>
      <c r="AL236" s="4"/>
      <c r="AM236" s="4"/>
      <c r="AN236" s="4" t="s">
        <v>13</v>
      </c>
      <c r="AO236" s="4"/>
      <c r="AP236" s="4" t="s">
        <v>13</v>
      </c>
      <c r="AQ236" s="4"/>
      <c r="AR236" s="4"/>
      <c r="AS236" s="13"/>
      <c r="AT236" s="12" t="s">
        <v>562</v>
      </c>
      <c r="AU236" s="4" t="s">
        <v>368</v>
      </c>
      <c r="AV236" s="4" t="s">
        <v>684</v>
      </c>
      <c r="AW236" s="4" t="s">
        <v>687</v>
      </c>
      <c r="AX236" s="4" t="s">
        <v>690</v>
      </c>
      <c r="AY236" s="4" t="s">
        <v>371</v>
      </c>
      <c r="AZ236" s="13" t="s">
        <v>14</v>
      </c>
      <c r="BA236" s="4" t="s">
        <v>387</v>
      </c>
      <c r="BB236" s="4" t="s">
        <v>414</v>
      </c>
      <c r="BC236" s="13" t="s">
        <v>400</v>
      </c>
      <c r="BD236" s="4">
        <v>3</v>
      </c>
      <c r="BE236" s="4" t="s">
        <v>455</v>
      </c>
      <c r="BF236" s="13" t="s">
        <v>456</v>
      </c>
      <c r="BG236" s="3"/>
    </row>
    <row r="237" spans="1:59" ht="28.5" hidden="1">
      <c r="A237" s="4">
        <v>234</v>
      </c>
      <c r="C237" s="4" t="s">
        <v>5</v>
      </c>
      <c r="D237" s="4">
        <v>2022</v>
      </c>
      <c r="E237" s="1" t="s">
        <v>539</v>
      </c>
      <c r="F237" s="13" t="s">
        <v>540</v>
      </c>
      <c r="G237" s="4"/>
      <c r="L237" s="6" t="s">
        <v>252</v>
      </c>
      <c r="M237" s="4" t="s">
        <v>266</v>
      </c>
      <c r="N237" s="13" t="s">
        <v>571</v>
      </c>
      <c r="O237" s="4"/>
      <c r="P237" s="4"/>
      <c r="Q237" s="4" t="s">
        <v>13</v>
      </c>
      <c r="R237" s="4"/>
      <c r="S237" s="4" t="s">
        <v>13</v>
      </c>
      <c r="T237" s="4" t="s">
        <v>13</v>
      </c>
      <c r="U237" s="4"/>
      <c r="V237" s="4"/>
      <c r="W237" s="4"/>
      <c r="X237" s="4"/>
      <c r="Y237" s="4"/>
      <c r="Z237" s="4"/>
      <c r="AA237" s="4"/>
      <c r="AB237" s="4" t="s">
        <v>13</v>
      </c>
      <c r="AC237" s="4"/>
      <c r="AD237" s="4" t="s">
        <v>13</v>
      </c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13"/>
      <c r="AT237" s="4" t="s">
        <v>352</v>
      </c>
      <c r="AU237" s="4" t="s">
        <v>368</v>
      </c>
      <c r="AV237" s="4" t="s">
        <v>684</v>
      </c>
      <c r="AW237" s="4" t="s">
        <v>687</v>
      </c>
      <c r="AX237" s="4" t="s">
        <v>690</v>
      </c>
      <c r="AY237" s="4" t="s">
        <v>371</v>
      </c>
      <c r="AZ237" s="13" t="s">
        <v>14</v>
      </c>
      <c r="BA237" s="4" t="s">
        <v>435</v>
      </c>
      <c r="BB237" s="4" t="s">
        <v>375</v>
      </c>
      <c r="BC237" s="13" t="s">
        <v>564</v>
      </c>
      <c r="BD237" s="4">
        <v>4</v>
      </c>
      <c r="BE237" s="4" t="s">
        <v>457</v>
      </c>
      <c r="BF237" s="13" t="s">
        <v>457</v>
      </c>
      <c r="BG237" s="3"/>
    </row>
    <row r="238" spans="1:59" ht="42.75" hidden="1">
      <c r="A238" s="4">
        <v>235</v>
      </c>
      <c r="C238" s="4" t="s">
        <v>6</v>
      </c>
      <c r="D238" s="4">
        <v>2016</v>
      </c>
      <c r="E238" s="1" t="s">
        <v>541</v>
      </c>
      <c r="F238" s="13" t="s">
        <v>542</v>
      </c>
      <c r="G238" s="4"/>
      <c r="L238" s="6" t="s">
        <v>252</v>
      </c>
      <c r="M238" s="4" t="s">
        <v>266</v>
      </c>
      <c r="N238" s="13" t="s">
        <v>571</v>
      </c>
      <c r="O238" s="4" t="s">
        <v>13</v>
      </c>
      <c r="P238" s="4"/>
      <c r="Q238" s="4"/>
      <c r="R238" s="4"/>
      <c r="S238" s="4"/>
      <c r="T238" s="4"/>
      <c r="U238" s="4"/>
      <c r="V238" s="4" t="s">
        <v>13</v>
      </c>
      <c r="W238" s="4" t="s">
        <v>13</v>
      </c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 t="s">
        <v>13</v>
      </c>
      <c r="AO238" s="4"/>
      <c r="AP238" s="4"/>
      <c r="AQ238" s="4"/>
      <c r="AR238" s="4"/>
      <c r="AS238" s="13"/>
      <c r="AT238" s="4" t="s">
        <v>350</v>
      </c>
      <c r="AU238" s="4" t="s">
        <v>368</v>
      </c>
      <c r="AV238" s="4" t="s">
        <v>684</v>
      </c>
      <c r="AW238" s="4" t="s">
        <v>687</v>
      </c>
      <c r="AX238" s="4" t="s">
        <v>691</v>
      </c>
      <c r="AY238" s="4" t="s">
        <v>371</v>
      </c>
      <c r="AZ238" s="13" t="s">
        <v>14</v>
      </c>
      <c r="BA238" s="4" t="s">
        <v>427</v>
      </c>
      <c r="BB238" s="4" t="s">
        <v>577</v>
      </c>
      <c r="BC238" s="13" t="s">
        <v>576</v>
      </c>
      <c r="BD238" s="4">
        <v>1</v>
      </c>
      <c r="BE238" s="4" t="s">
        <v>455</v>
      </c>
      <c r="BF238" s="13" t="s">
        <v>456</v>
      </c>
      <c r="BG238" s="3"/>
    </row>
    <row r="239" spans="1:59" ht="28.5" hidden="1">
      <c r="A239" s="4">
        <v>236</v>
      </c>
      <c r="B239" s="4" t="s">
        <v>10</v>
      </c>
      <c r="C239" s="4" t="s">
        <v>5</v>
      </c>
      <c r="D239" s="4">
        <v>2023</v>
      </c>
      <c r="E239" s="1" t="s">
        <v>543</v>
      </c>
      <c r="F239" s="13" t="s">
        <v>544</v>
      </c>
      <c r="G239" s="4"/>
      <c r="L239" s="6" t="s">
        <v>256</v>
      </c>
      <c r="M239" s="4" t="s">
        <v>266</v>
      </c>
      <c r="N239" s="13" t="s">
        <v>268</v>
      </c>
      <c r="O239" s="4" t="s">
        <v>13</v>
      </c>
      <c r="P239" s="4"/>
      <c r="Q239" s="4"/>
      <c r="R239" s="4"/>
      <c r="S239" s="4"/>
      <c r="T239" s="4"/>
      <c r="U239" s="4" t="s">
        <v>13</v>
      </c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 t="s">
        <v>13</v>
      </c>
      <c r="AI239" s="4"/>
      <c r="AJ239" s="4"/>
      <c r="AK239" s="4"/>
      <c r="AL239" s="4"/>
      <c r="AM239" s="4"/>
      <c r="AN239" s="4" t="s">
        <v>13</v>
      </c>
      <c r="AO239" s="4"/>
      <c r="AP239" s="4"/>
      <c r="AQ239" s="4"/>
      <c r="AR239" s="4"/>
      <c r="AS239" s="13" t="s">
        <v>13</v>
      </c>
      <c r="AT239" s="12" t="s">
        <v>363</v>
      </c>
      <c r="AU239" s="4" t="s">
        <v>368</v>
      </c>
      <c r="AV239" s="4" t="s">
        <v>684</v>
      </c>
      <c r="AW239" s="4" t="s">
        <v>687</v>
      </c>
      <c r="AX239" s="4" t="s">
        <v>690</v>
      </c>
      <c r="AY239" s="4" t="s">
        <v>371</v>
      </c>
      <c r="AZ239" s="13" t="s">
        <v>14</v>
      </c>
      <c r="BA239" s="4" t="s">
        <v>387</v>
      </c>
      <c r="BB239" s="4" t="s">
        <v>375</v>
      </c>
      <c r="BC239" s="13" t="s">
        <v>400</v>
      </c>
      <c r="BD239" s="4">
        <v>2</v>
      </c>
      <c r="BE239" s="4" t="s">
        <v>455</v>
      </c>
      <c r="BF239" s="13" t="s">
        <v>456</v>
      </c>
      <c r="BG239" s="3"/>
    </row>
    <row r="240" spans="1:59" ht="28.5" hidden="1">
      <c r="A240" s="4">
        <v>237</v>
      </c>
      <c r="B240" s="4" t="s">
        <v>4</v>
      </c>
      <c r="C240" s="4" t="s">
        <v>6</v>
      </c>
      <c r="D240" s="4">
        <v>2016</v>
      </c>
      <c r="E240" s="1" t="s">
        <v>545</v>
      </c>
      <c r="F240" s="13" t="s">
        <v>546</v>
      </c>
      <c r="G240" s="4"/>
      <c r="L240" s="6" t="s">
        <v>256</v>
      </c>
      <c r="M240" s="4" t="s">
        <v>578</v>
      </c>
      <c r="N240" s="13" t="s">
        <v>308</v>
      </c>
      <c r="O240" s="4" t="s">
        <v>13</v>
      </c>
      <c r="P240" s="4"/>
      <c r="Q240" s="4"/>
      <c r="R240" s="4"/>
      <c r="S240" s="4" t="s">
        <v>13</v>
      </c>
      <c r="T240" s="4"/>
      <c r="U240" s="4"/>
      <c r="V240" s="4"/>
      <c r="W240" s="4"/>
      <c r="X240" s="4"/>
      <c r="Y240" s="4"/>
      <c r="Z240" s="4"/>
      <c r="AA240" s="4"/>
      <c r="AB240" s="4" t="s">
        <v>13</v>
      </c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13"/>
      <c r="AT240" s="4" t="s">
        <v>359</v>
      </c>
      <c r="AU240" s="4" t="s">
        <v>368</v>
      </c>
      <c r="AV240" s="4" t="s">
        <v>684</v>
      </c>
      <c r="AW240" s="4" t="s">
        <v>687</v>
      </c>
      <c r="AX240" s="4" t="s">
        <v>690</v>
      </c>
      <c r="AY240" s="4" t="s">
        <v>371</v>
      </c>
      <c r="AZ240" s="13" t="s">
        <v>14</v>
      </c>
      <c r="BA240" s="4" t="s">
        <v>427</v>
      </c>
      <c r="BB240" s="4" t="s">
        <v>577</v>
      </c>
      <c r="BC240" s="13" t="s">
        <v>268</v>
      </c>
      <c r="BD240" s="4">
        <v>1</v>
      </c>
      <c r="BE240" s="4" t="s">
        <v>455</v>
      </c>
      <c r="BF240" s="13" t="s">
        <v>456</v>
      </c>
      <c r="BG240" s="3"/>
    </row>
    <row r="241" spans="1:71" ht="28.5" hidden="1">
      <c r="A241" s="4">
        <v>238</v>
      </c>
      <c r="B241" s="4" t="s">
        <v>547</v>
      </c>
      <c r="C241" s="4" t="s">
        <v>5</v>
      </c>
      <c r="D241" s="4">
        <v>2016</v>
      </c>
      <c r="E241" s="1" t="s">
        <v>548</v>
      </c>
      <c r="F241" s="13" t="s">
        <v>549</v>
      </c>
      <c r="G241" s="4"/>
      <c r="L241" s="6" t="s">
        <v>253</v>
      </c>
      <c r="M241" s="4" t="s">
        <v>298</v>
      </c>
      <c r="N241" s="13" t="s">
        <v>268</v>
      </c>
      <c r="O241" s="6" t="s">
        <v>13</v>
      </c>
      <c r="P241" s="4"/>
      <c r="Q241" s="4"/>
      <c r="R241" s="4"/>
      <c r="S241" s="4"/>
      <c r="T241" s="4" t="s">
        <v>13</v>
      </c>
      <c r="U241" s="4" t="s">
        <v>13</v>
      </c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 t="s">
        <v>13</v>
      </c>
      <c r="AH241" s="4"/>
      <c r="AI241" s="4"/>
      <c r="AJ241" s="4"/>
      <c r="AK241" s="4"/>
      <c r="AL241" s="4" t="s">
        <v>13</v>
      </c>
      <c r="AM241" s="4"/>
      <c r="AN241" s="4"/>
      <c r="AO241" s="4"/>
      <c r="AP241" s="4"/>
      <c r="AQ241" s="4"/>
      <c r="AR241" s="4"/>
      <c r="AS241" s="13"/>
      <c r="AT241" s="6" t="s">
        <v>579</v>
      </c>
      <c r="AU241" s="4" t="s">
        <v>368</v>
      </c>
      <c r="AV241" s="4" t="s">
        <v>684</v>
      </c>
      <c r="AW241" s="4" t="s">
        <v>687</v>
      </c>
      <c r="AX241" s="4" t="s">
        <v>690</v>
      </c>
      <c r="AY241" s="4" t="s">
        <v>371</v>
      </c>
      <c r="AZ241" s="13" t="s">
        <v>14</v>
      </c>
      <c r="BA241" s="4" t="s">
        <v>435</v>
      </c>
      <c r="BB241" s="4" t="s">
        <v>375</v>
      </c>
      <c r="BC241" s="13" t="s">
        <v>564</v>
      </c>
      <c r="BD241" s="4">
        <v>4</v>
      </c>
      <c r="BE241" s="4" t="s">
        <v>457</v>
      </c>
      <c r="BF241" s="13" t="s">
        <v>456</v>
      </c>
      <c r="BG241" s="3"/>
    </row>
    <row r="242" spans="1:71" ht="28.5" hidden="1">
      <c r="A242" s="4">
        <v>239</v>
      </c>
      <c r="B242" s="4" t="s">
        <v>9</v>
      </c>
      <c r="C242" s="4" t="s">
        <v>5</v>
      </c>
      <c r="D242" s="4">
        <v>2016</v>
      </c>
      <c r="E242" s="1" t="s">
        <v>550</v>
      </c>
      <c r="F242" s="13" t="s">
        <v>551</v>
      </c>
      <c r="G242" s="4"/>
      <c r="L242" s="6" t="s">
        <v>256</v>
      </c>
      <c r="M242" s="4" t="s">
        <v>266</v>
      </c>
      <c r="N242" s="13" t="s">
        <v>268</v>
      </c>
      <c r="O242" s="4" t="s">
        <v>13</v>
      </c>
      <c r="P242" s="4"/>
      <c r="Q242" s="4"/>
      <c r="R242" s="4"/>
      <c r="S242" s="4" t="s">
        <v>13</v>
      </c>
      <c r="T242" s="4" t="s">
        <v>13</v>
      </c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 t="s">
        <v>13</v>
      </c>
      <c r="AQ242" s="4" t="s">
        <v>13</v>
      </c>
      <c r="AR242" s="4"/>
      <c r="AS242" s="13"/>
      <c r="AT242" s="4" t="s">
        <v>350</v>
      </c>
      <c r="AU242" s="4" t="s">
        <v>368</v>
      </c>
      <c r="AV242" s="4" t="s">
        <v>684</v>
      </c>
      <c r="AW242" s="4" t="s">
        <v>687</v>
      </c>
      <c r="AX242" s="4" t="s">
        <v>690</v>
      </c>
      <c r="AY242" s="4" t="s">
        <v>371</v>
      </c>
      <c r="AZ242" s="13" t="s">
        <v>14</v>
      </c>
      <c r="BA242" s="4" t="s">
        <v>404</v>
      </c>
      <c r="BB242" s="4" t="s">
        <v>402</v>
      </c>
      <c r="BC242" s="13" t="s">
        <v>564</v>
      </c>
      <c r="BD242" s="4">
        <v>2</v>
      </c>
      <c r="BE242" s="4" t="s">
        <v>457</v>
      </c>
      <c r="BF242" s="13" t="s">
        <v>457</v>
      </c>
      <c r="BG242" s="3"/>
    </row>
    <row r="243" spans="1:71" ht="28.5" hidden="1">
      <c r="A243" s="4">
        <v>240</v>
      </c>
      <c r="B243" s="4" t="s">
        <v>8</v>
      </c>
      <c r="C243" s="4" t="s">
        <v>6</v>
      </c>
      <c r="D243" s="4">
        <v>2017</v>
      </c>
      <c r="E243" s="1" t="s">
        <v>552</v>
      </c>
      <c r="F243" s="13" t="s">
        <v>518</v>
      </c>
      <c r="G243" s="4"/>
      <c r="L243" s="6" t="s">
        <v>256</v>
      </c>
      <c r="M243" s="4" t="s">
        <v>266</v>
      </c>
      <c r="N243" s="13" t="s">
        <v>268</v>
      </c>
      <c r="O243" s="4" t="s">
        <v>13</v>
      </c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 t="s">
        <v>13</v>
      </c>
      <c r="AC243" s="4"/>
      <c r="AD243" s="4"/>
      <c r="AE243" s="4"/>
      <c r="AF243" s="4"/>
      <c r="AG243" s="4"/>
      <c r="AH243" s="4"/>
      <c r="AI243" s="4" t="s">
        <v>13</v>
      </c>
      <c r="AJ243" s="4"/>
      <c r="AK243" s="4"/>
      <c r="AL243" s="4"/>
      <c r="AM243" s="4"/>
      <c r="AN243" s="4"/>
      <c r="AO243" s="4"/>
      <c r="AP243" s="4" t="s">
        <v>13</v>
      </c>
      <c r="AQ243" s="4"/>
      <c r="AR243" s="4"/>
      <c r="AS243" s="13"/>
      <c r="AT243" s="4" t="s">
        <v>565</v>
      </c>
      <c r="AU243" s="4" t="s">
        <v>369</v>
      </c>
      <c r="AV243" s="4" t="s">
        <v>684</v>
      </c>
      <c r="AW243" s="4" t="s">
        <v>687</v>
      </c>
      <c r="AX243" s="4" t="s">
        <v>690</v>
      </c>
      <c r="AY243" s="4" t="s">
        <v>371</v>
      </c>
      <c r="AZ243" s="13" t="s">
        <v>14</v>
      </c>
      <c r="BA243" s="4" t="s">
        <v>393</v>
      </c>
      <c r="BB243" s="4" t="s">
        <v>402</v>
      </c>
      <c r="BC243" s="13" t="s">
        <v>564</v>
      </c>
      <c r="BD243" s="4">
        <v>2</v>
      </c>
      <c r="BE243" s="4" t="s">
        <v>457</v>
      </c>
      <c r="BF243" s="13" t="s">
        <v>456</v>
      </c>
      <c r="BG243" s="3"/>
    </row>
    <row r="244" spans="1:71" ht="28.5" hidden="1">
      <c r="A244" s="4">
        <v>241</v>
      </c>
      <c r="B244" s="4" t="s">
        <v>4</v>
      </c>
      <c r="C244" s="4" t="s">
        <v>6</v>
      </c>
      <c r="D244" s="4">
        <v>2017</v>
      </c>
      <c r="E244" s="1" t="s">
        <v>553</v>
      </c>
      <c r="F244" s="13" t="s">
        <v>554</v>
      </c>
      <c r="G244" s="4"/>
      <c r="L244" s="6" t="s">
        <v>256</v>
      </c>
      <c r="M244" s="4" t="s">
        <v>266</v>
      </c>
      <c r="N244" s="13" t="s">
        <v>268</v>
      </c>
      <c r="O244" s="4" t="s">
        <v>13</v>
      </c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 t="s">
        <v>13</v>
      </c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13"/>
      <c r="AT244" s="4" t="s">
        <v>351</v>
      </c>
      <c r="AU244" s="4" t="s">
        <v>368</v>
      </c>
      <c r="AV244" s="4" t="s">
        <v>684</v>
      </c>
      <c r="AW244" s="4" t="s">
        <v>687</v>
      </c>
      <c r="AX244" s="4" t="s">
        <v>690</v>
      </c>
      <c r="AY244" s="4" t="s">
        <v>371</v>
      </c>
      <c r="AZ244" s="13" t="s">
        <v>14</v>
      </c>
      <c r="BA244" s="4" t="s">
        <v>427</v>
      </c>
      <c r="BB244" s="4" t="s">
        <v>577</v>
      </c>
      <c r="BC244" s="13" t="s">
        <v>564</v>
      </c>
      <c r="BD244" s="4">
        <v>3</v>
      </c>
      <c r="BE244" s="4" t="s">
        <v>455</v>
      </c>
      <c r="BF244" s="13" t="s">
        <v>456</v>
      </c>
      <c r="BG244" s="3"/>
    </row>
    <row r="245" spans="1:71" ht="30" hidden="1">
      <c r="A245" s="4">
        <v>242</v>
      </c>
      <c r="B245" s="4" t="s">
        <v>9</v>
      </c>
      <c r="C245" s="4" t="s">
        <v>5</v>
      </c>
      <c r="D245" s="4">
        <v>2023</v>
      </c>
      <c r="E245" s="1" t="s">
        <v>555</v>
      </c>
      <c r="F245" s="13" t="s">
        <v>556</v>
      </c>
      <c r="G245" s="4"/>
      <c r="L245" s="6" t="s">
        <v>252</v>
      </c>
      <c r="M245" s="4" t="s">
        <v>266</v>
      </c>
      <c r="N245" s="13" t="s">
        <v>571</v>
      </c>
      <c r="O245" s="4" t="s">
        <v>13</v>
      </c>
      <c r="P245" s="4"/>
      <c r="Q245" s="4"/>
      <c r="R245" s="4"/>
      <c r="S245" s="4"/>
      <c r="T245" s="4" t="s">
        <v>13</v>
      </c>
      <c r="U245" s="4"/>
      <c r="V245" s="4"/>
      <c r="W245" s="4"/>
      <c r="X245" s="4"/>
      <c r="Y245" s="4"/>
      <c r="Z245" s="4"/>
      <c r="AA245" s="4"/>
      <c r="AB245" s="4" t="s">
        <v>13</v>
      </c>
      <c r="AC245" s="4"/>
      <c r="AD245" s="4"/>
      <c r="AE245" s="4"/>
      <c r="AF245" s="4"/>
      <c r="AG245" s="4"/>
      <c r="AH245" s="4"/>
      <c r="AI245" s="4"/>
      <c r="AJ245" s="4"/>
      <c r="AK245" s="4" t="s">
        <v>13</v>
      </c>
      <c r="AL245" s="4"/>
      <c r="AM245" s="4" t="s">
        <v>13</v>
      </c>
      <c r="AN245" s="4"/>
      <c r="AO245" s="4"/>
      <c r="AP245" s="4" t="s">
        <v>13</v>
      </c>
      <c r="AQ245" s="4"/>
      <c r="AR245" s="4"/>
      <c r="AS245" s="13"/>
      <c r="AT245" s="4" t="s">
        <v>562</v>
      </c>
      <c r="AU245" s="4" t="s">
        <v>368</v>
      </c>
      <c r="AV245" s="4" t="s">
        <v>684</v>
      </c>
      <c r="AW245" s="4" t="s">
        <v>688</v>
      </c>
      <c r="AX245" s="4" t="s">
        <v>690</v>
      </c>
      <c r="AY245" s="4" t="s">
        <v>371</v>
      </c>
      <c r="AZ245" s="13" t="s">
        <v>14</v>
      </c>
      <c r="BA245" s="4" t="s">
        <v>435</v>
      </c>
      <c r="BB245" s="4" t="s">
        <v>375</v>
      </c>
      <c r="BC245" s="13" t="s">
        <v>564</v>
      </c>
      <c r="BD245" s="4">
        <v>1</v>
      </c>
      <c r="BE245" s="4" t="s">
        <v>455</v>
      </c>
      <c r="BF245" s="13" t="s">
        <v>456</v>
      </c>
      <c r="BG245" s="3"/>
    </row>
    <row r="246" spans="1:71" ht="28.5">
      <c r="A246" s="4">
        <v>243</v>
      </c>
      <c r="B246" s="4" t="s">
        <v>4</v>
      </c>
      <c r="C246" s="4" t="s">
        <v>6</v>
      </c>
      <c r="D246" s="4">
        <v>2017</v>
      </c>
      <c r="E246" s="1" t="s">
        <v>557</v>
      </c>
      <c r="F246" s="13" t="s">
        <v>558</v>
      </c>
      <c r="G246" s="4"/>
      <c r="L246" s="6" t="s">
        <v>256</v>
      </c>
      <c r="M246" s="4" t="s">
        <v>569</v>
      </c>
      <c r="N246" s="13" t="s">
        <v>268</v>
      </c>
      <c r="O246" s="4" t="s">
        <v>13</v>
      </c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 t="s">
        <v>13</v>
      </c>
      <c r="AB246" s="4"/>
      <c r="AC246" s="4"/>
      <c r="AD246" s="4" t="s">
        <v>13</v>
      </c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13"/>
      <c r="AT246" s="4" t="s">
        <v>359</v>
      </c>
      <c r="AU246" s="4" t="s">
        <v>368</v>
      </c>
      <c r="AV246" s="4" t="s">
        <v>685</v>
      </c>
      <c r="AW246" s="4" t="s">
        <v>687</v>
      </c>
      <c r="AX246" s="4" t="s">
        <v>690</v>
      </c>
      <c r="AY246" s="4" t="s">
        <v>371</v>
      </c>
      <c r="AZ246" s="13" t="s">
        <v>14</v>
      </c>
      <c r="BA246" s="4" t="s">
        <v>387</v>
      </c>
      <c r="BB246" s="4" t="s">
        <v>414</v>
      </c>
      <c r="BC246" s="13" t="s">
        <v>400</v>
      </c>
      <c r="BD246" s="4">
        <v>4</v>
      </c>
      <c r="BE246" s="4" t="s">
        <v>457</v>
      </c>
      <c r="BF246" s="13" t="s">
        <v>457</v>
      </c>
      <c r="BG246" s="3"/>
    </row>
    <row r="247" spans="1:71" ht="28.5" hidden="1">
      <c r="A247" s="4">
        <v>244</v>
      </c>
      <c r="B247" s="4" t="s">
        <v>10</v>
      </c>
      <c r="C247" s="4" t="s">
        <v>5</v>
      </c>
      <c r="D247" s="4">
        <v>2016</v>
      </c>
      <c r="E247" s="1" t="s">
        <v>559</v>
      </c>
      <c r="F247" s="13" t="s">
        <v>12</v>
      </c>
      <c r="G247" s="4"/>
      <c r="L247" s="6" t="s">
        <v>252</v>
      </c>
      <c r="M247" s="4" t="s">
        <v>266</v>
      </c>
      <c r="N247" s="13" t="s">
        <v>268</v>
      </c>
      <c r="O247" s="4"/>
      <c r="P247" s="4"/>
      <c r="Q247" s="4" t="s">
        <v>13</v>
      </c>
      <c r="R247" s="4"/>
      <c r="S247" s="4"/>
      <c r="T247" s="4"/>
      <c r="U247" s="4"/>
      <c r="V247" s="4"/>
      <c r="W247" s="4"/>
      <c r="X247" s="4" t="s">
        <v>13</v>
      </c>
      <c r="Y247" s="4"/>
      <c r="Z247" s="4"/>
      <c r="AA247" s="4"/>
      <c r="AB247" s="4"/>
      <c r="AC247" s="4"/>
      <c r="AD247" s="4"/>
      <c r="AE247" s="4"/>
      <c r="AF247" s="4"/>
      <c r="AG247" s="4"/>
      <c r="AH247" s="4" t="s">
        <v>13</v>
      </c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13"/>
      <c r="AT247" s="4" t="s">
        <v>349</v>
      </c>
      <c r="AU247" s="4" t="s">
        <v>369</v>
      </c>
      <c r="AV247" s="4" t="s">
        <v>684</v>
      </c>
      <c r="AW247" s="4" t="s">
        <v>688</v>
      </c>
      <c r="AX247" s="4" t="s">
        <v>691</v>
      </c>
      <c r="AY247" s="4" t="s">
        <v>371</v>
      </c>
      <c r="AZ247" s="13" t="s">
        <v>14</v>
      </c>
      <c r="BA247" s="4" t="s">
        <v>404</v>
      </c>
      <c r="BB247" s="4" t="s">
        <v>580</v>
      </c>
      <c r="BC247" s="13" t="s">
        <v>400</v>
      </c>
      <c r="BD247" s="4">
        <v>3</v>
      </c>
      <c r="BE247" s="4" t="s">
        <v>457</v>
      </c>
      <c r="BF247" s="13" t="s">
        <v>456</v>
      </c>
      <c r="BG247" s="3"/>
    </row>
    <row r="248" spans="1:71" ht="28.5" hidden="1">
      <c r="A248" s="4">
        <v>245</v>
      </c>
      <c r="B248" s="4" t="s">
        <v>8</v>
      </c>
      <c r="C248" s="4" t="s">
        <v>6</v>
      </c>
      <c r="D248" s="4">
        <v>2016</v>
      </c>
      <c r="E248" s="1" t="s">
        <v>560</v>
      </c>
      <c r="F248" s="13" t="s">
        <v>561</v>
      </c>
      <c r="G248" s="4"/>
      <c r="L248" s="6" t="s">
        <v>252</v>
      </c>
      <c r="M248" s="4" t="s">
        <v>581</v>
      </c>
      <c r="N248" s="13" t="s">
        <v>308</v>
      </c>
      <c r="O248" s="4"/>
      <c r="P248" s="4" t="s">
        <v>13</v>
      </c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 t="s">
        <v>13</v>
      </c>
      <c r="AB248" s="4" t="s">
        <v>13</v>
      </c>
      <c r="AC248" s="4"/>
      <c r="AD248" s="4"/>
      <c r="AE248" s="4"/>
      <c r="AF248" s="4" t="s">
        <v>13</v>
      </c>
      <c r="AG248" s="4"/>
      <c r="AH248" s="4"/>
      <c r="AI248" s="4"/>
      <c r="AJ248" s="4"/>
      <c r="AK248" s="4"/>
      <c r="AL248" s="4"/>
      <c r="AM248" s="4" t="s">
        <v>13</v>
      </c>
      <c r="AN248" s="4"/>
      <c r="AO248" s="4"/>
      <c r="AP248" s="4"/>
      <c r="AQ248" s="4"/>
      <c r="AR248" s="4"/>
      <c r="AS248" s="13"/>
      <c r="AT248" s="4" t="s">
        <v>562</v>
      </c>
      <c r="AU248" s="4" t="s">
        <v>368</v>
      </c>
      <c r="AV248" s="4" t="s">
        <v>684</v>
      </c>
      <c r="AW248" s="4" t="s">
        <v>687</v>
      </c>
      <c r="AX248" s="4" t="s">
        <v>690</v>
      </c>
      <c r="AY248" s="4" t="s">
        <v>371</v>
      </c>
      <c r="AZ248" s="13" t="s">
        <v>14</v>
      </c>
      <c r="BA248" s="4" t="s">
        <v>396</v>
      </c>
      <c r="BB248" s="4" t="s">
        <v>375</v>
      </c>
      <c r="BC248" s="13" t="s">
        <v>564</v>
      </c>
      <c r="BD248" s="4">
        <v>4</v>
      </c>
      <c r="BE248" s="4" t="s">
        <v>457</v>
      </c>
      <c r="BF248" s="13" t="s">
        <v>456</v>
      </c>
      <c r="BG248" s="3"/>
    </row>
    <row r="249" spans="1:71" ht="42.75" hidden="1">
      <c r="A249" s="4">
        <v>246</v>
      </c>
      <c r="B249" s="4" t="s">
        <v>659</v>
      </c>
      <c r="C249" s="4" t="s">
        <v>5</v>
      </c>
      <c r="D249" s="4">
        <v>2023</v>
      </c>
      <c r="E249" s="48" t="s">
        <v>660</v>
      </c>
      <c r="F249" s="13" t="s">
        <v>659</v>
      </c>
      <c r="G249" s="4"/>
      <c r="K249" s="6"/>
      <c r="L249" s="6" t="s">
        <v>252</v>
      </c>
      <c r="M249" s="4" t="s">
        <v>266</v>
      </c>
      <c r="N249" s="13" t="s">
        <v>308</v>
      </c>
      <c r="O249" s="4" t="s">
        <v>13</v>
      </c>
      <c r="P249" s="4"/>
      <c r="Q249" s="4"/>
      <c r="R249" s="4"/>
      <c r="S249" s="4"/>
      <c r="T249" s="4" t="s">
        <v>13</v>
      </c>
      <c r="U249" s="4" t="s">
        <v>13</v>
      </c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 t="s">
        <v>13</v>
      </c>
      <c r="AH249" s="4"/>
      <c r="AI249" s="4"/>
      <c r="AJ249" s="4"/>
      <c r="AK249" s="4"/>
      <c r="AL249" s="4" t="s">
        <v>13</v>
      </c>
      <c r="AM249" s="4" t="s">
        <v>13</v>
      </c>
      <c r="AN249" s="4"/>
      <c r="AO249" s="4"/>
      <c r="AP249" s="4"/>
      <c r="AQ249" s="4" t="s">
        <v>13</v>
      </c>
      <c r="AR249" s="4" t="s">
        <v>13</v>
      </c>
      <c r="AS249" s="13"/>
      <c r="AT249" s="4" t="s">
        <v>562</v>
      </c>
      <c r="AU249" s="4" t="s">
        <v>369</v>
      </c>
      <c r="AV249" s="4" t="s">
        <v>684</v>
      </c>
      <c r="AW249" s="4" t="s">
        <v>687</v>
      </c>
      <c r="AX249" s="4" t="s">
        <v>691</v>
      </c>
      <c r="AY249" s="4" t="s">
        <v>371</v>
      </c>
      <c r="AZ249" s="13" t="s">
        <v>374</v>
      </c>
      <c r="BA249" s="4" t="s">
        <v>404</v>
      </c>
      <c r="BB249" s="4" t="s">
        <v>375</v>
      </c>
      <c r="BC249" s="13" t="s">
        <v>436</v>
      </c>
      <c r="BD249" s="4">
        <v>4</v>
      </c>
      <c r="BE249" s="4" t="s">
        <v>457</v>
      </c>
      <c r="BF249" s="13" t="s">
        <v>456</v>
      </c>
      <c r="BG249" s="4"/>
      <c r="BH249" s="4"/>
      <c r="BI249" s="4"/>
      <c r="BJ249" s="4"/>
      <c r="BK249" s="4"/>
      <c r="BL249" s="4"/>
      <c r="BM249" s="4"/>
      <c r="BN249" s="4"/>
      <c r="BO249" s="4"/>
      <c r="BP249" s="4"/>
      <c r="BQ249" s="4"/>
      <c r="BR249" s="4"/>
      <c r="BS249" s="4"/>
    </row>
    <row r="250" spans="1:71" ht="28.5" hidden="1">
      <c r="A250" s="4">
        <v>247</v>
      </c>
      <c r="B250" s="4" t="s">
        <v>659</v>
      </c>
      <c r="C250" s="4" t="s">
        <v>5</v>
      </c>
      <c r="D250" s="4">
        <v>2022</v>
      </c>
      <c r="E250" s="48" t="s">
        <v>661</v>
      </c>
      <c r="F250" s="13" t="s">
        <v>659</v>
      </c>
      <c r="K250" s="6"/>
      <c r="L250" s="6" t="s">
        <v>256</v>
      </c>
      <c r="M250" s="4" t="s">
        <v>298</v>
      </c>
      <c r="N250" s="13" t="s">
        <v>308</v>
      </c>
      <c r="O250" s="4" t="s">
        <v>13</v>
      </c>
      <c r="P250" s="4"/>
      <c r="Q250" s="4"/>
      <c r="R250" s="4"/>
      <c r="S250" s="4" t="s">
        <v>13</v>
      </c>
      <c r="T250" s="4" t="s">
        <v>13</v>
      </c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 t="s">
        <v>13</v>
      </c>
      <c r="AN250" s="4"/>
      <c r="AO250" s="4"/>
      <c r="AP250" s="4" t="s">
        <v>13</v>
      </c>
      <c r="AQ250" s="4"/>
      <c r="AR250" s="4"/>
      <c r="AS250" s="13"/>
      <c r="AT250" s="4" t="s">
        <v>565</v>
      </c>
      <c r="AU250" s="4" t="s">
        <v>368</v>
      </c>
      <c r="AV250" s="4" t="s">
        <v>684</v>
      </c>
      <c r="AW250" s="4" t="s">
        <v>687</v>
      </c>
      <c r="AX250" s="4" t="s">
        <v>690</v>
      </c>
      <c r="AY250" s="4" t="s">
        <v>371</v>
      </c>
      <c r="AZ250" s="13" t="s">
        <v>14</v>
      </c>
      <c r="BA250" s="4" t="s">
        <v>404</v>
      </c>
      <c r="BB250" s="4" t="s">
        <v>577</v>
      </c>
      <c r="BC250" s="13" t="s">
        <v>564</v>
      </c>
      <c r="BD250" s="4">
        <v>3</v>
      </c>
      <c r="BE250" s="4" t="s">
        <v>457</v>
      </c>
      <c r="BF250" s="13" t="s">
        <v>456</v>
      </c>
      <c r="BG250" s="4"/>
      <c r="BH250" s="4"/>
      <c r="BI250" s="4"/>
      <c r="BJ250" s="4"/>
      <c r="BK250" s="4"/>
      <c r="BL250" s="4"/>
      <c r="BM250" s="4"/>
      <c r="BN250" s="4"/>
      <c r="BO250" s="4"/>
      <c r="BP250" s="4"/>
      <c r="BQ250" s="4"/>
      <c r="BR250" s="4"/>
      <c r="BS250" s="4"/>
    </row>
    <row r="251" spans="1:71" ht="28.5" hidden="1">
      <c r="A251" s="4">
        <v>248</v>
      </c>
      <c r="B251" s="4" t="s">
        <v>659</v>
      </c>
      <c r="C251" s="4" t="s">
        <v>5</v>
      </c>
      <c r="D251" s="4">
        <v>2021</v>
      </c>
      <c r="E251" s="48" t="s">
        <v>662</v>
      </c>
      <c r="F251" s="13" t="s">
        <v>659</v>
      </c>
      <c r="G251" s="4"/>
      <c r="K251" s="6"/>
      <c r="L251" s="6" t="s">
        <v>252</v>
      </c>
      <c r="M251" s="4" t="s">
        <v>266</v>
      </c>
      <c r="N251" s="13" t="s">
        <v>268</v>
      </c>
      <c r="O251" s="4"/>
      <c r="P251" s="4" t="s">
        <v>13</v>
      </c>
      <c r="Q251" s="4"/>
      <c r="R251" s="4"/>
      <c r="S251" s="4" t="s">
        <v>13</v>
      </c>
      <c r="T251" s="4"/>
      <c r="U251" s="4"/>
      <c r="V251" s="4" t="s">
        <v>13</v>
      </c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 t="s">
        <v>13</v>
      </c>
      <c r="AM251" s="4"/>
      <c r="AN251" s="4"/>
      <c r="AO251" s="4"/>
      <c r="AP251" s="4"/>
      <c r="AQ251" s="4"/>
      <c r="AR251" s="4" t="s">
        <v>13</v>
      </c>
      <c r="AS251" s="13"/>
      <c r="AT251" s="4" t="s">
        <v>562</v>
      </c>
      <c r="AU251" s="4" t="s">
        <v>368</v>
      </c>
      <c r="AV251" s="4" t="s">
        <v>684</v>
      </c>
      <c r="AW251" s="4" t="s">
        <v>687</v>
      </c>
      <c r="AX251" s="4" t="s">
        <v>690</v>
      </c>
      <c r="AY251" s="4" t="s">
        <v>371</v>
      </c>
      <c r="AZ251" s="13" t="s">
        <v>14</v>
      </c>
      <c r="BA251" s="4" t="s">
        <v>404</v>
      </c>
      <c r="BB251" s="4" t="s">
        <v>375</v>
      </c>
      <c r="BC251" s="13" t="s">
        <v>564</v>
      </c>
      <c r="BD251" s="4">
        <v>3</v>
      </c>
      <c r="BE251" s="4" t="s">
        <v>455</v>
      </c>
      <c r="BF251" s="13" t="s">
        <v>456</v>
      </c>
      <c r="BG251" s="4"/>
      <c r="BH251" s="4"/>
      <c r="BI251" s="4"/>
      <c r="BJ251" s="4"/>
      <c r="BK251" s="4"/>
      <c r="BL251" s="4"/>
      <c r="BM251" s="4"/>
      <c r="BN251" s="4"/>
      <c r="BO251" s="4"/>
      <c r="BP251" s="4"/>
      <c r="BQ251" s="4"/>
      <c r="BR251" s="4"/>
      <c r="BS251" s="4"/>
    </row>
    <row r="252" spans="1:71" ht="28.5" hidden="1">
      <c r="A252" s="4">
        <v>249</v>
      </c>
      <c r="B252" s="4" t="s">
        <v>659</v>
      </c>
      <c r="C252" s="4" t="s">
        <v>5</v>
      </c>
      <c r="D252" s="4">
        <v>2021</v>
      </c>
      <c r="E252" s="48" t="s">
        <v>663</v>
      </c>
      <c r="F252" s="13" t="s">
        <v>659</v>
      </c>
      <c r="G252" s="4"/>
      <c r="K252" s="6"/>
      <c r="L252" s="6" t="s">
        <v>252</v>
      </c>
      <c r="M252" s="4" t="s">
        <v>298</v>
      </c>
      <c r="N252" s="13" t="s">
        <v>308</v>
      </c>
      <c r="O252" s="4"/>
      <c r="P252" s="4" t="s">
        <v>13</v>
      </c>
      <c r="Q252" s="4"/>
      <c r="R252" s="4"/>
      <c r="S252" s="4"/>
      <c r="T252" s="4"/>
      <c r="U252" s="4" t="s">
        <v>13</v>
      </c>
      <c r="V252" s="4"/>
      <c r="W252" s="4"/>
      <c r="X252" s="4"/>
      <c r="Y252" s="4"/>
      <c r="Z252" s="4"/>
      <c r="AA252" s="4"/>
      <c r="AB252" s="4" t="s">
        <v>13</v>
      </c>
      <c r="AC252" s="4"/>
      <c r="AD252" s="4"/>
      <c r="AE252" s="4"/>
      <c r="AF252" s="4" t="s">
        <v>13</v>
      </c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 t="s">
        <v>13</v>
      </c>
      <c r="AR252" s="4"/>
      <c r="AS252" s="13"/>
      <c r="AT252" s="4" t="s">
        <v>562</v>
      </c>
      <c r="AU252" s="4" t="s">
        <v>368</v>
      </c>
      <c r="AV252" s="4" t="s">
        <v>684</v>
      </c>
      <c r="AW252" s="4" t="s">
        <v>687</v>
      </c>
      <c r="AX252" s="4" t="s">
        <v>690</v>
      </c>
      <c r="AY252" s="4" t="s">
        <v>371</v>
      </c>
      <c r="AZ252" s="13" t="s">
        <v>14</v>
      </c>
      <c r="BA252" s="4" t="s">
        <v>435</v>
      </c>
      <c r="BB252" s="4" t="s">
        <v>577</v>
      </c>
      <c r="BC252" s="13" t="s">
        <v>564</v>
      </c>
      <c r="BD252" s="4">
        <v>2</v>
      </c>
      <c r="BE252" s="4" t="s">
        <v>455</v>
      </c>
      <c r="BF252" s="13" t="s">
        <v>456</v>
      </c>
      <c r="BG252" s="4"/>
      <c r="BH252" s="4"/>
      <c r="BI252" s="4"/>
      <c r="BJ252" s="4"/>
      <c r="BK252" s="4"/>
      <c r="BL252" s="4"/>
      <c r="BM252" s="4"/>
      <c r="BN252" s="4"/>
      <c r="BO252" s="4"/>
      <c r="BP252" s="4"/>
      <c r="BQ252" s="4"/>
      <c r="BR252" s="4"/>
      <c r="BS252" s="4"/>
    </row>
    <row r="253" spans="1:71" ht="28.5" hidden="1">
      <c r="A253" s="4">
        <v>250</v>
      </c>
      <c r="B253" s="4" t="s">
        <v>10</v>
      </c>
      <c r="C253" s="4" t="s">
        <v>6</v>
      </c>
      <c r="D253" s="4">
        <v>2005</v>
      </c>
      <c r="E253" s="48" t="s">
        <v>665</v>
      </c>
      <c r="F253" s="4" t="s">
        <v>664</v>
      </c>
      <c r="K253" s="6"/>
      <c r="L253" s="6" t="s">
        <v>256</v>
      </c>
      <c r="M253" s="4" t="s">
        <v>266</v>
      </c>
      <c r="N253" s="13" t="s">
        <v>268</v>
      </c>
      <c r="O253" s="4"/>
      <c r="P253" s="4"/>
      <c r="Q253" s="4"/>
      <c r="R253" s="4" t="s">
        <v>13</v>
      </c>
      <c r="S253" s="4"/>
      <c r="T253" s="4" t="s">
        <v>13</v>
      </c>
      <c r="U253" s="4"/>
      <c r="V253" s="4"/>
      <c r="W253" s="4"/>
      <c r="X253" s="4"/>
      <c r="Y253" s="4"/>
      <c r="Z253" s="4"/>
      <c r="AA253" s="4"/>
      <c r="AB253" s="4"/>
      <c r="AC253" s="4" t="s">
        <v>13</v>
      </c>
      <c r="AD253" s="4"/>
      <c r="AE253" s="4"/>
      <c r="AF253" s="4"/>
      <c r="AG253" s="4" t="s">
        <v>13</v>
      </c>
      <c r="AH253" s="4"/>
      <c r="AI253" s="4"/>
      <c r="AJ253" s="4"/>
      <c r="AK253" s="4"/>
      <c r="AL253" s="4"/>
      <c r="AM253" s="4"/>
      <c r="AN253" s="4"/>
      <c r="AO253" s="4"/>
      <c r="AP253" s="4" t="s">
        <v>13</v>
      </c>
      <c r="AQ253" s="4"/>
      <c r="AR253" s="4"/>
      <c r="AS253" s="13"/>
      <c r="AT253" s="12" t="s">
        <v>355</v>
      </c>
      <c r="AU253" s="4" t="s">
        <v>369</v>
      </c>
      <c r="AV253" s="4" t="s">
        <v>684</v>
      </c>
      <c r="AW253" s="4" t="s">
        <v>687</v>
      </c>
      <c r="AX253" s="4" t="s">
        <v>690</v>
      </c>
      <c r="AY253" s="4" t="s">
        <v>371</v>
      </c>
      <c r="AZ253" s="13" t="s">
        <v>14</v>
      </c>
      <c r="BA253" s="4" t="s">
        <v>427</v>
      </c>
      <c r="BB253" s="4" t="s">
        <v>375</v>
      </c>
      <c r="BC253" s="13" t="s">
        <v>400</v>
      </c>
      <c r="BD253" s="4">
        <v>3</v>
      </c>
      <c r="BE253" s="4" t="s">
        <v>455</v>
      </c>
      <c r="BF253" s="13" t="s">
        <v>456</v>
      </c>
      <c r="BG253" s="4"/>
      <c r="BH253" s="4"/>
      <c r="BI253" s="4"/>
      <c r="BJ253" s="4"/>
      <c r="BK253" s="4"/>
      <c r="BL253" s="4"/>
      <c r="BM253" s="4"/>
      <c r="BN253" s="4"/>
      <c r="BO253" s="4"/>
      <c r="BP253" s="4"/>
      <c r="BQ253" s="4"/>
      <c r="BR253" s="4"/>
      <c r="BS253" s="4"/>
    </row>
    <row r="254" spans="1:71" ht="42.75">
      <c r="A254" s="4">
        <v>251</v>
      </c>
      <c r="B254" s="4" t="s">
        <v>10</v>
      </c>
      <c r="C254" s="4" t="s">
        <v>6</v>
      </c>
      <c r="D254" s="4">
        <v>2005</v>
      </c>
      <c r="E254" s="48" t="s">
        <v>666</v>
      </c>
      <c r="F254" s="4" t="s">
        <v>664</v>
      </c>
      <c r="K254" s="6"/>
      <c r="L254" s="6" t="s">
        <v>252</v>
      </c>
      <c r="M254" s="4" t="s">
        <v>298</v>
      </c>
      <c r="N254" s="13" t="s">
        <v>268</v>
      </c>
      <c r="O254" s="4" t="s">
        <v>13</v>
      </c>
      <c r="P254" s="4"/>
      <c r="Q254" s="4"/>
      <c r="R254" s="4"/>
      <c r="S254" s="4" t="s">
        <v>13</v>
      </c>
      <c r="T254" s="4" t="s">
        <v>13</v>
      </c>
      <c r="U254" s="4"/>
      <c r="V254" s="4"/>
      <c r="W254" s="4"/>
      <c r="X254" s="4"/>
      <c r="Y254" s="4"/>
      <c r="Z254" s="4" t="s">
        <v>13</v>
      </c>
      <c r="AA254" s="4"/>
      <c r="AB254" s="4"/>
      <c r="AC254" s="4"/>
      <c r="AD254" s="4" t="s">
        <v>13</v>
      </c>
      <c r="AE254" s="4" t="s">
        <v>13</v>
      </c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13"/>
      <c r="AT254" s="4" t="s">
        <v>359</v>
      </c>
      <c r="AU254" s="4" t="s">
        <v>368</v>
      </c>
      <c r="AV254" s="4" t="s">
        <v>685</v>
      </c>
      <c r="AW254" s="4" t="s">
        <v>687</v>
      </c>
      <c r="AX254" s="4" t="s">
        <v>690</v>
      </c>
      <c r="AY254" s="4" t="s">
        <v>371</v>
      </c>
      <c r="AZ254" s="13" t="s">
        <v>14</v>
      </c>
      <c r="BA254" s="4" t="s">
        <v>404</v>
      </c>
      <c r="BB254" s="4" t="s">
        <v>375</v>
      </c>
      <c r="BC254" s="13" t="s">
        <v>436</v>
      </c>
      <c r="BD254" s="4">
        <v>6</v>
      </c>
      <c r="BE254" s="4" t="s">
        <v>457</v>
      </c>
      <c r="BF254" s="13" t="s">
        <v>457</v>
      </c>
      <c r="BG254" s="4"/>
      <c r="BH254" s="4"/>
      <c r="BI254" s="4"/>
      <c r="BJ254" s="4"/>
      <c r="BK254" s="4"/>
      <c r="BL254" s="4"/>
      <c r="BM254" s="4"/>
      <c r="BN254" s="4"/>
      <c r="BO254" s="4"/>
      <c r="BP254" s="4"/>
      <c r="BQ254" s="4"/>
      <c r="BR254" s="4"/>
      <c r="BS254" s="4"/>
    </row>
    <row r="255" spans="1:71" ht="28.5" hidden="1">
      <c r="A255" s="4">
        <v>252</v>
      </c>
      <c r="B255" s="4" t="s">
        <v>9</v>
      </c>
      <c r="C255" s="4" t="s">
        <v>5</v>
      </c>
      <c r="D255" s="4">
        <v>2009</v>
      </c>
      <c r="E255" s="48" t="s">
        <v>667</v>
      </c>
      <c r="F255" s="4" t="s">
        <v>129</v>
      </c>
      <c r="K255" s="6"/>
      <c r="L255" s="6" t="s">
        <v>256</v>
      </c>
      <c r="M255" s="4" t="s">
        <v>581</v>
      </c>
      <c r="N255" s="13" t="s">
        <v>308</v>
      </c>
      <c r="O255" s="4"/>
      <c r="P255" s="4" t="s">
        <v>13</v>
      </c>
      <c r="Q255" s="4"/>
      <c r="R255" s="4"/>
      <c r="S255" s="4" t="s">
        <v>13</v>
      </c>
      <c r="T255" s="4"/>
      <c r="U255" s="4"/>
      <c r="V255" s="4"/>
      <c r="W255" s="4"/>
      <c r="X255" s="4" t="s">
        <v>13</v>
      </c>
      <c r="Y255" s="4" t="s">
        <v>13</v>
      </c>
      <c r="Z255" s="4"/>
      <c r="AA255" s="4"/>
      <c r="AB255" s="4"/>
      <c r="AC255" s="4"/>
      <c r="AD255" s="4"/>
      <c r="AE255" s="4" t="s">
        <v>13</v>
      </c>
      <c r="AF255" s="4" t="s">
        <v>13</v>
      </c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13"/>
      <c r="AT255" s="4" t="s">
        <v>349</v>
      </c>
      <c r="AU255" s="4" t="s">
        <v>368</v>
      </c>
      <c r="AV255" s="4" t="s">
        <v>684</v>
      </c>
      <c r="AW255" s="4" t="s">
        <v>687</v>
      </c>
      <c r="AX255" s="4" t="s">
        <v>690</v>
      </c>
      <c r="AY255" s="4" t="s">
        <v>371</v>
      </c>
      <c r="AZ255" s="13" t="s">
        <v>14</v>
      </c>
      <c r="BA255" s="4" t="s">
        <v>387</v>
      </c>
      <c r="BB255" s="4" t="s">
        <v>580</v>
      </c>
      <c r="BC255" s="13" t="s">
        <v>400</v>
      </c>
      <c r="BD255" s="4">
        <v>2</v>
      </c>
      <c r="BE255" s="4" t="s">
        <v>455</v>
      </c>
      <c r="BF255" s="13" t="s">
        <v>456</v>
      </c>
      <c r="BG255" s="4"/>
      <c r="BH255" s="4"/>
      <c r="BI255" s="4"/>
      <c r="BJ255" s="4"/>
      <c r="BK255" s="4"/>
      <c r="BL255" s="4"/>
      <c r="BM255" s="4"/>
      <c r="BN255" s="4"/>
      <c r="BO255" s="4"/>
      <c r="BP255" s="4"/>
      <c r="BQ255" s="4"/>
      <c r="BR255" s="4"/>
      <c r="BS255" s="4"/>
    </row>
    <row r="256" spans="1:71" ht="42.75" hidden="1">
      <c r="A256" s="4">
        <v>253</v>
      </c>
      <c r="B256" s="4" t="s">
        <v>659</v>
      </c>
      <c r="C256" s="4" t="s">
        <v>5</v>
      </c>
      <c r="D256" s="4">
        <v>2007</v>
      </c>
      <c r="E256" s="48" t="s">
        <v>668</v>
      </c>
      <c r="F256" s="4" t="s">
        <v>659</v>
      </c>
      <c r="K256" s="6"/>
      <c r="L256" s="6" t="s">
        <v>256</v>
      </c>
      <c r="M256" s="4" t="s">
        <v>266</v>
      </c>
      <c r="N256" s="13" t="s">
        <v>268</v>
      </c>
      <c r="O256" s="4" t="s">
        <v>13</v>
      </c>
      <c r="P256" s="4"/>
      <c r="Q256" s="4"/>
      <c r="R256" s="4"/>
      <c r="S256" s="4" t="s">
        <v>13</v>
      </c>
      <c r="T256" s="4"/>
      <c r="U256" s="4"/>
      <c r="V256" s="4"/>
      <c r="W256" s="4"/>
      <c r="X256" s="4"/>
      <c r="Y256" s="4"/>
      <c r="Z256" s="4"/>
      <c r="AA256" s="4"/>
      <c r="AB256" s="4"/>
      <c r="AC256" s="4" t="s">
        <v>13</v>
      </c>
      <c r="AD256" s="4"/>
      <c r="AE256" s="4"/>
      <c r="AF256" s="4"/>
      <c r="AG256" s="4"/>
      <c r="AH256" s="4"/>
      <c r="AI256" s="4"/>
      <c r="AJ256" s="4"/>
      <c r="AK256" s="4"/>
      <c r="AL256" s="4" t="s">
        <v>13</v>
      </c>
      <c r="AM256" s="4"/>
      <c r="AN256" s="4"/>
      <c r="AO256" s="4"/>
      <c r="AP256" s="4"/>
      <c r="AQ256" s="4"/>
      <c r="AR256" s="4" t="s">
        <v>13</v>
      </c>
      <c r="AS256" s="13" t="s">
        <v>13</v>
      </c>
      <c r="AT256" s="4" t="s">
        <v>562</v>
      </c>
      <c r="AU256" s="4" t="s">
        <v>368</v>
      </c>
      <c r="AV256" s="4" t="s">
        <v>684</v>
      </c>
      <c r="AW256" s="4" t="s">
        <v>687</v>
      </c>
      <c r="AX256" s="4" t="s">
        <v>690</v>
      </c>
      <c r="AY256" s="4" t="s">
        <v>371</v>
      </c>
      <c r="AZ256" s="13" t="s">
        <v>14</v>
      </c>
      <c r="BA256" s="4" t="s">
        <v>435</v>
      </c>
      <c r="BB256" s="4" t="s">
        <v>375</v>
      </c>
      <c r="BC256" s="13" t="s">
        <v>436</v>
      </c>
      <c r="BD256" s="4">
        <v>2</v>
      </c>
      <c r="BE256" s="4" t="s">
        <v>455</v>
      </c>
      <c r="BF256" s="13" t="s">
        <v>456</v>
      </c>
      <c r="BG256" s="4"/>
      <c r="BH256" s="4"/>
      <c r="BI256" s="4"/>
      <c r="BJ256" s="4"/>
      <c r="BK256" s="4"/>
      <c r="BL256" s="4"/>
      <c r="BM256" s="4"/>
      <c r="BN256" s="4"/>
      <c r="BO256" s="4"/>
      <c r="BP256" s="4"/>
      <c r="BQ256" s="4"/>
      <c r="BR256" s="4"/>
      <c r="BS256" s="4"/>
    </row>
    <row r="257" spans="1:71" ht="28.5" hidden="1">
      <c r="A257" s="4">
        <v>254</v>
      </c>
      <c r="B257" s="4" t="s">
        <v>10</v>
      </c>
      <c r="C257" s="4" t="s">
        <v>6</v>
      </c>
      <c r="D257" s="4">
        <v>2005</v>
      </c>
      <c r="E257" s="48" t="s">
        <v>669</v>
      </c>
      <c r="F257" s="4" t="s">
        <v>664</v>
      </c>
      <c r="K257" s="6"/>
      <c r="L257" s="6" t="s">
        <v>256</v>
      </c>
      <c r="M257" s="4" t="s">
        <v>266</v>
      </c>
      <c r="N257" s="13" t="s">
        <v>268</v>
      </c>
      <c r="O257" s="4" t="s">
        <v>13</v>
      </c>
      <c r="P257" s="4"/>
      <c r="Q257" s="4"/>
      <c r="R257" s="4"/>
      <c r="S257" s="4"/>
      <c r="T257" s="4"/>
      <c r="U257" s="4" t="s">
        <v>13</v>
      </c>
      <c r="V257" s="4"/>
      <c r="W257" s="4" t="s">
        <v>13</v>
      </c>
      <c r="X257" s="4"/>
      <c r="Y257" s="4"/>
      <c r="Z257" s="4"/>
      <c r="AA257" s="4"/>
      <c r="AB257" s="4" t="s">
        <v>13</v>
      </c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 t="s">
        <v>13</v>
      </c>
      <c r="AR257" s="4"/>
      <c r="AS257" s="13"/>
      <c r="AT257" s="4" t="s">
        <v>565</v>
      </c>
      <c r="AU257" s="4" t="s">
        <v>369</v>
      </c>
      <c r="AV257" s="4" t="s">
        <v>684</v>
      </c>
      <c r="AW257" s="4" t="s">
        <v>687</v>
      </c>
      <c r="AX257" s="4" t="s">
        <v>690</v>
      </c>
      <c r="AY257" s="4" t="s">
        <v>371</v>
      </c>
      <c r="AZ257" s="13" t="s">
        <v>14</v>
      </c>
      <c r="BA257" s="4" t="s">
        <v>427</v>
      </c>
      <c r="BB257" s="4" t="s">
        <v>375</v>
      </c>
      <c r="BC257" s="13" t="s">
        <v>433</v>
      </c>
      <c r="BD257" s="4">
        <v>3</v>
      </c>
      <c r="BE257" s="4" t="s">
        <v>455</v>
      </c>
      <c r="BF257" s="13" t="s">
        <v>456</v>
      </c>
      <c r="BG257" s="4"/>
      <c r="BH257" s="4"/>
      <c r="BI257" s="4"/>
      <c r="BJ257" s="4"/>
      <c r="BK257" s="4"/>
      <c r="BL257" s="4"/>
      <c r="BM257" s="4"/>
      <c r="BN257" s="4"/>
      <c r="BO257" s="4"/>
      <c r="BP257" s="4"/>
      <c r="BQ257" s="4"/>
      <c r="BR257" s="4"/>
      <c r="BS257" s="4"/>
    </row>
    <row r="258" spans="1:71" ht="28.5">
      <c r="A258" s="4">
        <v>255</v>
      </c>
      <c r="B258" s="4" t="s">
        <v>10</v>
      </c>
      <c r="C258" s="4" t="s">
        <v>6</v>
      </c>
      <c r="D258" s="4">
        <v>2006</v>
      </c>
      <c r="E258" s="48" t="s">
        <v>670</v>
      </c>
      <c r="F258" s="4" t="s">
        <v>664</v>
      </c>
      <c r="K258" s="6"/>
      <c r="L258" s="6" t="s">
        <v>256</v>
      </c>
      <c r="M258" s="4" t="s">
        <v>569</v>
      </c>
      <c r="N258" s="13" t="s">
        <v>268</v>
      </c>
      <c r="O258" s="4"/>
      <c r="P258" s="4"/>
      <c r="Q258" s="4"/>
      <c r="R258" s="4" t="s">
        <v>13</v>
      </c>
      <c r="S258" s="4"/>
      <c r="T258" s="4" t="s">
        <v>13</v>
      </c>
      <c r="U258" s="4"/>
      <c r="V258" s="4"/>
      <c r="W258" s="4"/>
      <c r="X258" s="4"/>
      <c r="Y258" s="4"/>
      <c r="Z258" s="4" t="s">
        <v>13</v>
      </c>
      <c r="AA258" s="4"/>
      <c r="AB258" s="4"/>
      <c r="AC258" s="4"/>
      <c r="AD258" s="4"/>
      <c r="AE258" s="4"/>
      <c r="AF258" s="4" t="s">
        <v>13</v>
      </c>
      <c r="AG258" s="4"/>
      <c r="AH258" s="4"/>
      <c r="AI258" s="4"/>
      <c r="AJ258" s="4"/>
      <c r="AK258" s="4"/>
      <c r="AL258" s="4" t="s">
        <v>13</v>
      </c>
      <c r="AM258" s="4"/>
      <c r="AN258" s="4"/>
      <c r="AO258" s="4"/>
      <c r="AP258" s="4"/>
      <c r="AQ258" s="4"/>
      <c r="AR258" s="4"/>
      <c r="AS258" s="13"/>
      <c r="AT258" s="4" t="s">
        <v>671</v>
      </c>
      <c r="AU258" s="4" t="s">
        <v>368</v>
      </c>
      <c r="AV258" s="4" t="s">
        <v>685</v>
      </c>
      <c r="AW258" s="4" t="s">
        <v>687</v>
      </c>
      <c r="AX258" s="4" t="s">
        <v>690</v>
      </c>
      <c r="AY258" s="4" t="s">
        <v>371</v>
      </c>
      <c r="AZ258" s="13" t="s">
        <v>14</v>
      </c>
      <c r="BA258" s="4" t="s">
        <v>419</v>
      </c>
      <c r="BB258" s="4" t="s">
        <v>375</v>
      </c>
      <c r="BC258" s="13" t="s">
        <v>564</v>
      </c>
      <c r="BD258" s="4">
        <v>2</v>
      </c>
      <c r="BE258" s="4" t="s">
        <v>455</v>
      </c>
      <c r="BF258" s="13" t="s">
        <v>456</v>
      </c>
      <c r="BG258" s="4"/>
      <c r="BH258" s="4"/>
      <c r="BI258" s="4"/>
      <c r="BJ258" s="4"/>
      <c r="BK258" s="4"/>
      <c r="BL258" s="4"/>
      <c r="BM258" s="4"/>
      <c r="BN258" s="4"/>
      <c r="BO258" s="4"/>
      <c r="BP258" s="4"/>
      <c r="BQ258" s="4"/>
      <c r="BR258" s="4"/>
      <c r="BS258" s="4"/>
    </row>
    <row r="259" spans="1:71" ht="42.75" hidden="1">
      <c r="A259" s="4">
        <v>256</v>
      </c>
      <c r="B259" s="4" t="s">
        <v>10</v>
      </c>
      <c r="C259" s="4" t="s">
        <v>6</v>
      </c>
      <c r="D259" s="4">
        <v>2007</v>
      </c>
      <c r="E259" s="48" t="s">
        <v>672</v>
      </c>
      <c r="F259" s="4" t="s">
        <v>664</v>
      </c>
      <c r="G259" s="4"/>
      <c r="K259" s="6"/>
      <c r="L259" s="6" t="s">
        <v>256</v>
      </c>
      <c r="M259" s="4" t="s">
        <v>266</v>
      </c>
      <c r="N259" s="13" t="s">
        <v>268</v>
      </c>
      <c r="O259" s="4"/>
      <c r="P259" s="4"/>
      <c r="Q259" s="4"/>
      <c r="R259" s="4" t="s">
        <v>13</v>
      </c>
      <c r="S259" s="4"/>
      <c r="T259" s="4"/>
      <c r="U259" s="4"/>
      <c r="V259" s="4"/>
      <c r="W259" s="4" t="s">
        <v>13</v>
      </c>
      <c r="X259" s="4"/>
      <c r="Y259" s="4"/>
      <c r="Z259" s="4" t="s">
        <v>13</v>
      </c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 t="s">
        <v>13</v>
      </c>
      <c r="AM259" s="4"/>
      <c r="AN259" s="4" t="s">
        <v>13</v>
      </c>
      <c r="AO259" s="4"/>
      <c r="AP259" s="4"/>
      <c r="AQ259" s="4"/>
      <c r="AR259" s="4"/>
      <c r="AS259" s="13"/>
      <c r="AT259" s="4" t="s">
        <v>565</v>
      </c>
      <c r="AU259" s="4" t="s">
        <v>368</v>
      </c>
      <c r="AV259" s="4" t="s">
        <v>684</v>
      </c>
      <c r="AW259" s="4" t="s">
        <v>687</v>
      </c>
      <c r="AX259" s="4" t="s">
        <v>690</v>
      </c>
      <c r="AY259" s="4" t="s">
        <v>371</v>
      </c>
      <c r="AZ259" s="13" t="s">
        <v>14</v>
      </c>
      <c r="BA259" s="4" t="s">
        <v>419</v>
      </c>
      <c r="BB259" s="4" t="s">
        <v>375</v>
      </c>
      <c r="BC259" s="13" t="s">
        <v>436</v>
      </c>
      <c r="BD259" s="4">
        <v>1</v>
      </c>
      <c r="BE259" s="4" t="s">
        <v>455</v>
      </c>
      <c r="BF259" s="13" t="s">
        <v>455</v>
      </c>
      <c r="BG259" s="4"/>
      <c r="BH259" s="4"/>
      <c r="BI259" s="4"/>
      <c r="BJ259" s="4"/>
      <c r="BK259" s="4"/>
      <c r="BL259" s="4"/>
      <c r="BM259" s="4"/>
      <c r="BN259" s="4"/>
      <c r="BO259" s="4"/>
      <c r="BP259" s="4"/>
      <c r="BQ259" s="4"/>
      <c r="BR259" s="4"/>
      <c r="BS259" s="4"/>
    </row>
    <row r="260" spans="1:71" ht="28.5" hidden="1">
      <c r="A260" s="4">
        <v>257</v>
      </c>
      <c r="B260" s="4" t="s">
        <v>10</v>
      </c>
      <c r="C260" s="4" t="s">
        <v>6</v>
      </c>
      <c r="D260" s="4">
        <v>2008</v>
      </c>
      <c r="E260" s="48" t="s">
        <v>673</v>
      </c>
      <c r="F260" s="4" t="s">
        <v>664</v>
      </c>
      <c r="G260" s="4"/>
      <c r="K260" s="6"/>
      <c r="L260" s="6" t="s">
        <v>259</v>
      </c>
      <c r="M260" s="4" t="s">
        <v>266</v>
      </c>
      <c r="N260" s="13" t="s">
        <v>268</v>
      </c>
      <c r="O260" s="4" t="s">
        <v>13</v>
      </c>
      <c r="P260" s="4"/>
      <c r="Q260" s="4"/>
      <c r="R260" s="4"/>
      <c r="S260" s="4"/>
      <c r="T260" s="4"/>
      <c r="U260" s="4" t="s">
        <v>13</v>
      </c>
      <c r="V260" s="4" t="s">
        <v>13</v>
      </c>
      <c r="W260" s="4"/>
      <c r="X260" s="4"/>
      <c r="Y260" s="4"/>
      <c r="Z260" s="4"/>
      <c r="AA260" s="4"/>
      <c r="AB260" s="4"/>
      <c r="AC260" s="4"/>
      <c r="AD260" s="4" t="s">
        <v>13</v>
      </c>
      <c r="AE260" s="4"/>
      <c r="AF260" s="4"/>
      <c r="AG260" s="4"/>
      <c r="AH260" s="4"/>
      <c r="AI260" s="4"/>
      <c r="AJ260" s="4"/>
      <c r="AK260" s="4" t="s">
        <v>13</v>
      </c>
      <c r="AL260" s="4"/>
      <c r="AM260" s="4" t="s">
        <v>13</v>
      </c>
      <c r="AN260" s="4"/>
      <c r="AO260" s="4"/>
      <c r="AP260" s="4"/>
      <c r="AQ260" s="4"/>
      <c r="AR260" s="4" t="s">
        <v>13</v>
      </c>
      <c r="AS260" s="13"/>
      <c r="AT260" s="12" t="s">
        <v>355</v>
      </c>
      <c r="AU260" s="4" t="s">
        <v>369</v>
      </c>
      <c r="AV260" s="4" t="s">
        <v>684</v>
      </c>
      <c r="AW260" s="4" t="s">
        <v>687</v>
      </c>
      <c r="AX260" s="4" t="s">
        <v>690</v>
      </c>
      <c r="AY260" s="4" t="s">
        <v>371</v>
      </c>
      <c r="AZ260" s="13" t="s">
        <v>14</v>
      </c>
      <c r="BA260" s="4" t="s">
        <v>427</v>
      </c>
      <c r="BB260" s="4" t="s">
        <v>674</v>
      </c>
      <c r="BC260" s="13" t="s">
        <v>448</v>
      </c>
      <c r="BD260" s="4">
        <v>2</v>
      </c>
      <c r="BE260" s="4" t="s">
        <v>457</v>
      </c>
      <c r="BF260" s="13" t="s">
        <v>456</v>
      </c>
      <c r="BG260" s="4"/>
      <c r="BH260" s="4"/>
      <c r="BI260" s="4"/>
      <c r="BJ260" s="4"/>
      <c r="BK260" s="4"/>
      <c r="BL260" s="4"/>
      <c r="BM260" s="4"/>
      <c r="BN260" s="4"/>
      <c r="BO260" s="4"/>
      <c r="BP260" s="4"/>
      <c r="BQ260" s="4"/>
      <c r="BR260" s="4"/>
      <c r="BS260" s="4"/>
    </row>
    <row r="261" spans="1:71" ht="42.75" hidden="1">
      <c r="A261" s="4">
        <v>258</v>
      </c>
      <c r="B261" s="4" t="s">
        <v>10</v>
      </c>
      <c r="C261" s="4" t="s">
        <v>6</v>
      </c>
      <c r="D261" s="4">
        <v>2011</v>
      </c>
      <c r="E261" s="48" t="s">
        <v>676</v>
      </c>
      <c r="F261" s="4" t="s">
        <v>675</v>
      </c>
      <c r="G261" s="4"/>
      <c r="K261" s="6"/>
      <c r="L261" s="6" t="s">
        <v>260</v>
      </c>
      <c r="M261" s="4" t="s">
        <v>266</v>
      </c>
      <c r="N261" s="13" t="s">
        <v>268</v>
      </c>
      <c r="O261" s="4"/>
      <c r="P261" s="4"/>
      <c r="Q261" s="4"/>
      <c r="R261" s="4" t="s">
        <v>13</v>
      </c>
      <c r="S261" s="4" t="s">
        <v>13</v>
      </c>
      <c r="T261" s="4"/>
      <c r="U261" s="4"/>
      <c r="V261" s="4"/>
      <c r="W261" s="4"/>
      <c r="X261" s="4"/>
      <c r="Y261" s="4"/>
      <c r="Z261" s="4" t="s">
        <v>13</v>
      </c>
      <c r="AA261" s="4"/>
      <c r="AB261" s="4"/>
      <c r="AC261" s="4"/>
      <c r="AD261" s="4"/>
      <c r="AE261" s="4" t="s">
        <v>13</v>
      </c>
      <c r="AF261" s="4" t="s">
        <v>13</v>
      </c>
      <c r="AG261" s="4"/>
      <c r="AH261" s="4"/>
      <c r="AI261" s="4"/>
      <c r="AJ261" s="4"/>
      <c r="AK261" s="4"/>
      <c r="AL261" s="4"/>
      <c r="AM261" s="4"/>
      <c r="AN261" s="4" t="s">
        <v>13</v>
      </c>
      <c r="AO261" s="4"/>
      <c r="AP261" s="4"/>
      <c r="AQ261" s="4"/>
      <c r="AR261" s="4" t="s">
        <v>13</v>
      </c>
      <c r="AS261" s="13"/>
      <c r="AT261" s="4" t="s">
        <v>359</v>
      </c>
      <c r="AU261" s="4" t="s">
        <v>368</v>
      </c>
      <c r="AV261" s="4" t="s">
        <v>684</v>
      </c>
      <c r="AW261" s="4" t="s">
        <v>687</v>
      </c>
      <c r="AX261" s="4" t="s">
        <v>690</v>
      </c>
      <c r="AY261" s="4" t="s">
        <v>371</v>
      </c>
      <c r="AZ261" s="13" t="s">
        <v>14</v>
      </c>
      <c r="BA261" s="4" t="s">
        <v>419</v>
      </c>
      <c r="BB261" s="4" t="s">
        <v>417</v>
      </c>
      <c r="BC261" s="13" t="s">
        <v>436</v>
      </c>
      <c r="BD261" s="4">
        <v>2</v>
      </c>
      <c r="BE261" s="4" t="s">
        <v>457</v>
      </c>
      <c r="BF261" s="13" t="s">
        <v>457</v>
      </c>
      <c r="BG261" s="4"/>
      <c r="BH261" s="4"/>
      <c r="BI261" s="4"/>
      <c r="BJ261" s="4"/>
      <c r="BK261" s="4"/>
      <c r="BL261" s="4"/>
      <c r="BM261" s="4"/>
      <c r="BN261" s="4"/>
      <c r="BO261" s="4"/>
      <c r="BP261" s="4"/>
      <c r="BQ261" s="4"/>
      <c r="BR261" s="4"/>
      <c r="BS261" s="4"/>
    </row>
    <row r="262" spans="1:71" ht="28.5" hidden="1">
      <c r="A262" s="4">
        <v>259</v>
      </c>
      <c r="B262" s="4" t="s">
        <v>10</v>
      </c>
      <c r="C262" s="4" t="s">
        <v>6</v>
      </c>
      <c r="D262" s="4">
        <v>2012</v>
      </c>
      <c r="E262" s="48" t="s">
        <v>677</v>
      </c>
      <c r="F262" s="4" t="s">
        <v>12</v>
      </c>
      <c r="G262" s="4"/>
      <c r="K262" s="6"/>
      <c r="L262" s="6" t="s">
        <v>256</v>
      </c>
      <c r="M262" s="4" t="s">
        <v>266</v>
      </c>
      <c r="N262" s="13" t="s">
        <v>308</v>
      </c>
      <c r="O262" s="4" t="s">
        <v>13</v>
      </c>
      <c r="P262" s="4"/>
      <c r="Q262" s="4"/>
      <c r="R262" s="4"/>
      <c r="S262" s="4" t="s">
        <v>13</v>
      </c>
      <c r="T262" s="4"/>
      <c r="U262" s="4" t="s">
        <v>13</v>
      </c>
      <c r="V262" s="4" t="s">
        <v>13</v>
      </c>
      <c r="W262" s="4"/>
      <c r="X262" s="4"/>
      <c r="Y262" s="4"/>
      <c r="Z262" s="4"/>
      <c r="AA262" s="4"/>
      <c r="AB262" s="4" t="s">
        <v>13</v>
      </c>
      <c r="AC262" s="4"/>
      <c r="AD262" s="4"/>
      <c r="AE262" s="4" t="s">
        <v>13</v>
      </c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 t="s">
        <v>13</v>
      </c>
      <c r="AR262" s="4"/>
      <c r="AS262" s="13"/>
      <c r="AT262" s="4" t="s">
        <v>671</v>
      </c>
      <c r="AU262" s="4" t="s">
        <v>368</v>
      </c>
      <c r="AV262" s="4" t="s">
        <v>684</v>
      </c>
      <c r="AW262" s="4" t="s">
        <v>687</v>
      </c>
      <c r="AX262" s="4" t="s">
        <v>690</v>
      </c>
      <c r="AY262" s="4" t="s">
        <v>371</v>
      </c>
      <c r="AZ262" s="13" t="s">
        <v>14</v>
      </c>
      <c r="BA262" s="4" t="s">
        <v>427</v>
      </c>
      <c r="BB262" s="4" t="s">
        <v>375</v>
      </c>
      <c r="BC262" s="13" t="s">
        <v>400</v>
      </c>
      <c r="BD262" s="4">
        <v>2</v>
      </c>
      <c r="BE262" s="4" t="s">
        <v>457</v>
      </c>
      <c r="BF262" s="13" t="s">
        <v>456</v>
      </c>
      <c r="BG262" s="4"/>
      <c r="BH262" s="4"/>
      <c r="BI262" s="4"/>
      <c r="BJ262" s="4"/>
      <c r="BK262" s="4"/>
      <c r="BL262" s="4"/>
      <c r="BM262" s="4"/>
      <c r="BN262" s="4"/>
      <c r="BO262" s="4"/>
      <c r="BP262" s="4"/>
      <c r="BQ262" s="4"/>
      <c r="BR262" s="4"/>
      <c r="BS262" s="4"/>
    </row>
    <row r="263" spans="1:71" ht="28.5" hidden="1">
      <c r="A263" s="4">
        <v>260</v>
      </c>
      <c r="B263" s="4" t="s">
        <v>10</v>
      </c>
      <c r="C263" s="4" t="s">
        <v>6</v>
      </c>
      <c r="D263" s="4">
        <v>2014</v>
      </c>
      <c r="E263" s="48" t="s">
        <v>678</v>
      </c>
      <c r="F263" s="4" t="s">
        <v>675</v>
      </c>
      <c r="G263" s="4"/>
      <c r="K263" s="6"/>
      <c r="L263" s="6" t="s">
        <v>257</v>
      </c>
      <c r="M263" s="4" t="s">
        <v>266</v>
      </c>
      <c r="N263" s="13" t="s">
        <v>302</v>
      </c>
      <c r="O263" s="4" t="s">
        <v>13</v>
      </c>
      <c r="P263" s="4"/>
      <c r="Q263" s="4"/>
      <c r="R263" s="4"/>
      <c r="S263" s="4"/>
      <c r="T263" s="4" t="s">
        <v>13</v>
      </c>
      <c r="U263" s="4" t="s">
        <v>13</v>
      </c>
      <c r="V263" s="4" t="s">
        <v>13</v>
      </c>
      <c r="W263" s="4"/>
      <c r="X263" s="4"/>
      <c r="Y263" s="4"/>
      <c r="Z263" s="4"/>
      <c r="AA263" s="4"/>
      <c r="AB263" s="4"/>
      <c r="AC263" s="4"/>
      <c r="AD263" s="4" t="s">
        <v>13</v>
      </c>
      <c r="AE263" s="4"/>
      <c r="AF263" s="4"/>
      <c r="AG263" s="4"/>
      <c r="AH263" s="4"/>
      <c r="AI263" s="4"/>
      <c r="AJ263" s="4"/>
      <c r="AK263" s="4"/>
      <c r="AL263" s="4"/>
      <c r="AM263" s="4" t="s">
        <v>13</v>
      </c>
      <c r="AN263" s="4"/>
      <c r="AO263" s="4"/>
      <c r="AP263" s="4"/>
      <c r="AQ263" s="4"/>
      <c r="AR263" s="4"/>
      <c r="AS263" s="13" t="s">
        <v>13</v>
      </c>
      <c r="AT263" s="4" t="s">
        <v>565</v>
      </c>
      <c r="AU263" s="4" t="s">
        <v>368</v>
      </c>
      <c r="AV263" s="4" t="s">
        <v>684</v>
      </c>
      <c r="AW263" s="4" t="s">
        <v>687</v>
      </c>
      <c r="AX263" s="4" t="s">
        <v>690</v>
      </c>
      <c r="AY263" s="4" t="s">
        <v>371</v>
      </c>
      <c r="AZ263" s="13" t="s">
        <v>14</v>
      </c>
      <c r="BA263" s="4" t="s">
        <v>427</v>
      </c>
      <c r="BB263" s="4" t="s">
        <v>375</v>
      </c>
      <c r="BC263" s="13" t="s">
        <v>434</v>
      </c>
      <c r="BD263" s="4">
        <v>2</v>
      </c>
      <c r="BE263" s="4" t="s">
        <v>455</v>
      </c>
      <c r="BF263" s="13" t="s">
        <v>456</v>
      </c>
      <c r="BG263" s="4"/>
      <c r="BH263" s="4"/>
      <c r="BI263" s="4"/>
      <c r="BJ263" s="4"/>
      <c r="BK263" s="4"/>
      <c r="BL263" s="4"/>
      <c r="BM263" s="4"/>
      <c r="BN263" s="4"/>
      <c r="BO263" s="4"/>
      <c r="BP263" s="4"/>
      <c r="BQ263" s="4"/>
      <c r="BR263" s="4"/>
      <c r="BS263" s="4"/>
    </row>
    <row r="264" spans="1:71" ht="42.75" hidden="1">
      <c r="A264" s="4">
        <v>261</v>
      </c>
      <c r="B264" s="4" t="s">
        <v>10</v>
      </c>
      <c r="C264" s="4" t="s">
        <v>6</v>
      </c>
      <c r="D264" s="4">
        <v>2017</v>
      </c>
      <c r="E264" s="48" t="s">
        <v>679</v>
      </c>
      <c r="F264" s="4" t="s">
        <v>675</v>
      </c>
      <c r="G264" s="4"/>
      <c r="K264" s="6"/>
      <c r="L264" s="6" t="s">
        <v>252</v>
      </c>
      <c r="M264" s="4" t="s">
        <v>266</v>
      </c>
      <c r="N264" s="13" t="s">
        <v>268</v>
      </c>
      <c r="O264" s="4"/>
      <c r="P264" s="4" t="s">
        <v>13</v>
      </c>
      <c r="Q264" s="4"/>
      <c r="R264" s="4"/>
      <c r="S264" s="4"/>
      <c r="T264" s="4"/>
      <c r="U264" s="4" t="s">
        <v>13</v>
      </c>
      <c r="V264" s="4"/>
      <c r="W264" s="4" t="s">
        <v>13</v>
      </c>
      <c r="X264" s="4"/>
      <c r="Y264" s="4"/>
      <c r="Z264" s="4"/>
      <c r="AA264" s="4"/>
      <c r="AB264" s="4"/>
      <c r="AC264" s="4" t="s">
        <v>13</v>
      </c>
      <c r="AD264" s="4"/>
      <c r="AE264" s="4"/>
      <c r="AF264" s="4"/>
      <c r="AG264" s="4"/>
      <c r="AH264" s="4"/>
      <c r="AI264" s="4"/>
      <c r="AJ264" s="4"/>
      <c r="AK264" s="4"/>
      <c r="AL264" s="4"/>
      <c r="AM264" s="4" t="s">
        <v>13</v>
      </c>
      <c r="AN264" s="4"/>
      <c r="AO264" s="4"/>
      <c r="AP264" s="4"/>
      <c r="AQ264" s="4" t="s">
        <v>13</v>
      </c>
      <c r="AR264" s="4"/>
      <c r="AS264" s="13"/>
      <c r="AT264" s="4" t="s">
        <v>562</v>
      </c>
      <c r="AU264" s="4" t="s">
        <v>368</v>
      </c>
      <c r="AV264" s="4" t="s">
        <v>684</v>
      </c>
      <c r="AW264" s="4" t="s">
        <v>687</v>
      </c>
      <c r="AX264" s="4" t="s">
        <v>690</v>
      </c>
      <c r="AY264" s="4" t="s">
        <v>371</v>
      </c>
      <c r="AZ264" s="13" t="s">
        <v>14</v>
      </c>
      <c r="BA264" s="4" t="s">
        <v>427</v>
      </c>
      <c r="BB264" s="4" t="s">
        <v>681</v>
      </c>
      <c r="BC264" s="13" t="s">
        <v>436</v>
      </c>
      <c r="BD264" s="4">
        <v>4</v>
      </c>
      <c r="BE264" s="4" t="s">
        <v>457</v>
      </c>
      <c r="BF264" s="13" t="s">
        <v>456</v>
      </c>
      <c r="BG264" s="4"/>
      <c r="BH264" s="4"/>
      <c r="BI264" s="4"/>
      <c r="BJ264" s="4"/>
      <c r="BK264" s="4"/>
      <c r="BL264" s="4"/>
      <c r="BM264" s="4"/>
      <c r="BN264" s="4"/>
      <c r="BO264" s="4"/>
      <c r="BP264" s="4"/>
      <c r="BQ264" s="4"/>
      <c r="BR264" s="4"/>
      <c r="BS264" s="4"/>
    </row>
    <row r="265" spans="1:71" ht="28.5" hidden="1">
      <c r="A265" s="4">
        <v>262</v>
      </c>
      <c r="B265" s="4" t="s">
        <v>10</v>
      </c>
      <c r="C265" s="4" t="s">
        <v>6</v>
      </c>
      <c r="D265" s="4">
        <v>2018</v>
      </c>
      <c r="E265" s="48" t="s">
        <v>680</v>
      </c>
      <c r="F265" s="4" t="s">
        <v>675</v>
      </c>
      <c r="G265" s="4"/>
      <c r="K265" s="6"/>
      <c r="L265" s="6" t="s">
        <v>252</v>
      </c>
      <c r="M265" s="4" t="s">
        <v>266</v>
      </c>
      <c r="N265" s="13" t="s">
        <v>268</v>
      </c>
      <c r="O265" s="4"/>
      <c r="P265" s="4"/>
      <c r="Q265" s="4"/>
      <c r="R265" s="4" t="s">
        <v>13</v>
      </c>
      <c r="S265" s="4"/>
      <c r="T265" s="4"/>
      <c r="U265" s="4"/>
      <c r="V265" s="4"/>
      <c r="W265" s="4" t="s">
        <v>13</v>
      </c>
      <c r="X265" s="4"/>
      <c r="Y265" s="4"/>
      <c r="Z265" s="4" t="s">
        <v>13</v>
      </c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 t="s">
        <v>13</v>
      </c>
      <c r="AM265" s="4"/>
      <c r="AN265" s="4"/>
      <c r="AO265" s="4" t="s">
        <v>13</v>
      </c>
      <c r="AP265" s="4"/>
      <c r="AQ265" s="4"/>
      <c r="AR265" s="4"/>
      <c r="AS265" s="13"/>
      <c r="AT265" s="4" t="s">
        <v>360</v>
      </c>
      <c r="AU265" s="4" t="s">
        <v>368</v>
      </c>
      <c r="AV265" s="4" t="s">
        <v>684</v>
      </c>
      <c r="AW265" s="4" t="s">
        <v>687</v>
      </c>
      <c r="AX265" s="4" t="s">
        <v>690</v>
      </c>
      <c r="AY265" s="4" t="s">
        <v>371</v>
      </c>
      <c r="AZ265" s="13" t="s">
        <v>14</v>
      </c>
      <c r="BA265" s="4" t="s">
        <v>427</v>
      </c>
      <c r="BB265" s="4" t="s">
        <v>375</v>
      </c>
      <c r="BC265" s="13" t="s">
        <v>433</v>
      </c>
      <c r="BD265" s="4">
        <v>2</v>
      </c>
      <c r="BE265" s="4" t="s">
        <v>455</v>
      </c>
      <c r="BF265" s="13" t="s">
        <v>456</v>
      </c>
      <c r="BG265" s="4"/>
      <c r="BH265" s="4"/>
      <c r="BI265" s="4"/>
      <c r="BJ265" s="4"/>
      <c r="BK265" s="4"/>
      <c r="BL265" s="4"/>
      <c r="BM265" s="4"/>
      <c r="BN265" s="4"/>
      <c r="BO265" s="4"/>
      <c r="BP265" s="4"/>
      <c r="BQ265" s="4"/>
      <c r="BR265" s="4"/>
      <c r="BS265" s="4"/>
    </row>
    <row r="266" spans="1:71" ht="15" hidden="1">
      <c r="E266" s="47"/>
      <c r="F266" s="13"/>
      <c r="G266" s="4"/>
      <c r="K266" s="6"/>
      <c r="L266" s="6"/>
      <c r="M266" s="4"/>
      <c r="N266" s="13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13"/>
      <c r="AT266" s="4"/>
      <c r="AU266" s="4"/>
      <c r="AV266" s="4"/>
      <c r="AW266" s="4"/>
      <c r="AX266" s="4"/>
      <c r="AY266" s="4"/>
      <c r="AZ266" s="13"/>
      <c r="BA266" s="4"/>
      <c r="BB266" s="4"/>
      <c r="BC266" s="13"/>
      <c r="BD266" s="4"/>
      <c r="BE266" s="4"/>
      <c r="BF266" s="13"/>
      <c r="BG266" s="4"/>
      <c r="BH266" s="4"/>
      <c r="BI266" s="4"/>
      <c r="BJ266" s="4"/>
      <c r="BK266" s="4"/>
      <c r="BL266" s="4"/>
      <c r="BM266" s="4"/>
      <c r="BN266" s="4"/>
      <c r="BO266" s="4"/>
      <c r="BP266" s="4"/>
      <c r="BQ266" s="4"/>
      <c r="BR266" s="4"/>
      <c r="BS266" s="4"/>
    </row>
    <row r="267" spans="1:71" ht="15">
      <c r="E267" s="47"/>
      <c r="F267" s="13"/>
      <c r="G267" s="4"/>
      <c r="K267" s="6"/>
      <c r="L267" s="6"/>
      <c r="M267" s="4"/>
      <c r="N267" s="13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13"/>
      <c r="AT267" s="4"/>
      <c r="AU267" s="4"/>
      <c r="AV267" s="4"/>
      <c r="AW267" s="4"/>
      <c r="AX267" s="4"/>
      <c r="AY267" s="4"/>
      <c r="AZ267" s="13"/>
      <c r="BA267" s="4"/>
      <c r="BB267" s="4"/>
      <c r="BC267" s="13"/>
      <c r="BD267" s="4"/>
      <c r="BE267" s="4"/>
      <c r="BF267" s="13"/>
      <c r="BG267" s="4"/>
      <c r="BH267" s="4"/>
      <c r="BI267" s="4"/>
      <c r="BJ267" s="4"/>
      <c r="BK267" s="4"/>
      <c r="BL267" s="4"/>
      <c r="BM267" s="4"/>
      <c r="BN267" s="4"/>
      <c r="BO267" s="4"/>
      <c r="BP267" s="4"/>
      <c r="BQ267" s="4"/>
      <c r="BR267" s="4"/>
      <c r="BS267" s="4"/>
    </row>
    <row r="268" spans="1:71" ht="15">
      <c r="E268" s="47"/>
      <c r="F268" s="13"/>
      <c r="G268" s="4"/>
      <c r="K268" s="6"/>
      <c r="L268" s="6"/>
      <c r="M268" s="4"/>
      <c r="N268" s="13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13"/>
      <c r="AT268" s="4"/>
      <c r="AU268" s="4"/>
      <c r="AV268" s="4"/>
      <c r="AW268" s="4"/>
      <c r="AX268" s="4"/>
      <c r="AY268" s="4"/>
      <c r="AZ268" s="13"/>
      <c r="BA268" s="4"/>
      <c r="BB268" s="4"/>
      <c r="BC268" s="13"/>
      <c r="BD268" s="4"/>
      <c r="BE268" s="4"/>
      <c r="BF268" s="13"/>
      <c r="BG268" s="4"/>
      <c r="BH268" s="4"/>
      <c r="BI268" s="4"/>
      <c r="BJ268" s="4"/>
      <c r="BK268" s="4"/>
      <c r="BL268" s="4"/>
      <c r="BM268" s="4"/>
      <c r="BN268" s="4"/>
      <c r="BO268" s="4"/>
      <c r="BP268" s="4"/>
      <c r="BQ268" s="4"/>
      <c r="BR268" s="4"/>
      <c r="BS268" s="4"/>
    </row>
    <row r="269" spans="1:71" ht="15">
      <c r="E269" s="47"/>
      <c r="F269" s="13"/>
      <c r="G269" s="4"/>
      <c r="K269" s="6"/>
      <c r="L269" s="6"/>
      <c r="M269" s="4"/>
      <c r="N269" s="13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13"/>
      <c r="AT269" s="4"/>
      <c r="AU269" s="4"/>
      <c r="AV269" s="4"/>
      <c r="AW269" s="4"/>
      <c r="AX269" s="4"/>
      <c r="AY269" s="4"/>
      <c r="AZ269" s="13"/>
      <c r="BA269" s="4"/>
      <c r="BB269" s="4"/>
      <c r="BC269" s="13"/>
      <c r="BD269" s="4"/>
      <c r="BE269" s="4"/>
      <c r="BF269" s="13"/>
      <c r="BG269" s="4"/>
      <c r="BH269" s="4"/>
      <c r="BI269" s="4"/>
      <c r="BJ269" s="4"/>
      <c r="BK269" s="4"/>
      <c r="BL269" s="4"/>
      <c r="BM269" s="4"/>
      <c r="BN269" s="4"/>
      <c r="BO269" s="4"/>
      <c r="BP269" s="4"/>
      <c r="BQ269" s="4"/>
      <c r="BR269" s="4"/>
      <c r="BS269" s="4"/>
    </row>
    <row r="270" spans="1:71" ht="15">
      <c r="E270" s="47"/>
      <c r="F270" s="13"/>
      <c r="G270" s="4"/>
      <c r="K270" s="6"/>
      <c r="L270" s="6"/>
      <c r="M270" s="4"/>
      <c r="N270" s="13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13"/>
      <c r="AT270" s="4"/>
      <c r="AU270" s="4"/>
      <c r="AV270" s="4"/>
      <c r="AW270" s="4"/>
      <c r="AX270" s="4"/>
      <c r="AY270" s="4"/>
      <c r="AZ270" s="13"/>
      <c r="BA270" s="4"/>
      <c r="BB270" s="4"/>
      <c r="BC270" s="13"/>
      <c r="BD270" s="4"/>
      <c r="BE270" s="4"/>
      <c r="BF270" s="13"/>
      <c r="BG270" s="4"/>
      <c r="BH270" s="4"/>
      <c r="BI270" s="4"/>
      <c r="BJ270" s="4"/>
      <c r="BK270" s="4"/>
      <c r="BL270" s="4"/>
      <c r="BM270" s="4"/>
      <c r="BN270" s="4"/>
      <c r="BO270" s="4"/>
      <c r="BP270" s="4"/>
      <c r="BQ270" s="4"/>
      <c r="BR270" s="4"/>
      <c r="BS270" s="4"/>
    </row>
    <row r="271" spans="1:71" ht="15">
      <c r="E271" s="47"/>
      <c r="F271" s="13"/>
      <c r="G271" s="4"/>
      <c r="K271" s="6"/>
      <c r="L271" s="6"/>
      <c r="M271" s="4"/>
      <c r="N271" s="13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13"/>
      <c r="AT271" s="4"/>
      <c r="AU271" s="4"/>
      <c r="AV271" s="4"/>
      <c r="AW271" s="4"/>
      <c r="AX271" s="4"/>
      <c r="AY271" s="4"/>
      <c r="AZ271" s="13"/>
      <c r="BA271" s="4"/>
      <c r="BB271" s="4"/>
      <c r="BC271" s="13"/>
      <c r="BD271" s="4"/>
      <c r="BE271" s="4"/>
      <c r="BF271" s="13"/>
      <c r="BG271" s="4"/>
      <c r="BH271" s="4"/>
      <c r="BI271" s="4"/>
      <c r="BJ271" s="4"/>
      <c r="BK271" s="4"/>
      <c r="BL271" s="4"/>
      <c r="BM271" s="4"/>
      <c r="BN271" s="4"/>
      <c r="BO271" s="4"/>
      <c r="BP271" s="4"/>
      <c r="BQ271" s="4"/>
      <c r="BR271" s="4"/>
      <c r="BS271" s="4"/>
    </row>
    <row r="272" spans="1:71" ht="15">
      <c r="E272" s="47"/>
      <c r="F272" s="13"/>
      <c r="G272" s="4"/>
      <c r="K272" s="6"/>
      <c r="L272" s="6"/>
      <c r="M272" s="4"/>
      <c r="N272" s="13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13"/>
      <c r="AT272" s="4"/>
      <c r="AU272" s="4"/>
      <c r="AV272" s="4"/>
      <c r="AW272" s="4"/>
      <c r="AX272" s="4"/>
      <c r="AY272" s="4"/>
      <c r="AZ272" s="13"/>
      <c r="BA272" s="4"/>
      <c r="BB272" s="4"/>
      <c r="BC272" s="13"/>
      <c r="BD272" s="4"/>
      <c r="BE272" s="4"/>
      <c r="BF272" s="13"/>
      <c r="BG272" s="4"/>
      <c r="BH272" s="4"/>
      <c r="BI272" s="4"/>
      <c r="BJ272" s="4"/>
      <c r="BK272" s="4"/>
      <c r="BL272" s="4"/>
      <c r="BM272" s="4"/>
      <c r="BN272" s="4"/>
      <c r="BO272" s="4"/>
      <c r="BP272" s="4"/>
      <c r="BQ272" s="4"/>
      <c r="BR272" s="4"/>
      <c r="BS272" s="4"/>
    </row>
    <row r="273" spans="5:71" ht="15">
      <c r="E273" s="47"/>
      <c r="F273" s="13"/>
      <c r="G273" s="4"/>
      <c r="K273" s="6"/>
      <c r="L273" s="6"/>
      <c r="M273" s="4"/>
      <c r="N273" s="13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13"/>
      <c r="AT273" s="4"/>
      <c r="AU273" s="4"/>
      <c r="AV273" s="4"/>
      <c r="AW273" s="4"/>
      <c r="AX273" s="4"/>
      <c r="AY273" s="4"/>
      <c r="AZ273" s="13"/>
      <c r="BA273" s="4"/>
      <c r="BB273" s="4"/>
      <c r="BC273" s="13"/>
      <c r="BD273" s="4"/>
      <c r="BE273" s="4"/>
      <c r="BF273" s="13"/>
      <c r="BG273" s="4"/>
      <c r="BH273" s="4"/>
      <c r="BI273" s="4"/>
      <c r="BJ273" s="4"/>
      <c r="BK273" s="4"/>
      <c r="BL273" s="4"/>
      <c r="BM273" s="4"/>
      <c r="BN273" s="4"/>
      <c r="BO273" s="4"/>
      <c r="BP273" s="4"/>
      <c r="BQ273" s="4"/>
      <c r="BR273" s="4"/>
      <c r="BS273" s="4"/>
    </row>
    <row r="274" spans="5:71" ht="15">
      <c r="E274" s="47"/>
      <c r="F274" s="13"/>
      <c r="G274" s="4"/>
      <c r="K274" s="6"/>
      <c r="L274" s="6"/>
      <c r="M274" s="4"/>
      <c r="N274" s="13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13"/>
      <c r="AT274" s="4"/>
      <c r="AU274" s="4"/>
      <c r="AV274" s="4"/>
      <c r="AW274" s="4"/>
      <c r="AX274" s="4"/>
      <c r="AY274" s="4"/>
      <c r="AZ274" s="13"/>
      <c r="BA274" s="4"/>
      <c r="BB274" s="4"/>
      <c r="BC274" s="13"/>
      <c r="BD274" s="4"/>
      <c r="BE274" s="4"/>
      <c r="BF274" s="13"/>
      <c r="BG274" s="4"/>
      <c r="BH274" s="4"/>
      <c r="BI274" s="4"/>
      <c r="BJ274" s="4"/>
      <c r="BK274" s="4"/>
      <c r="BL274" s="4"/>
      <c r="BM274" s="4"/>
      <c r="BN274" s="4"/>
      <c r="BO274" s="4"/>
      <c r="BP274" s="4"/>
      <c r="BQ274" s="4"/>
      <c r="BR274" s="4"/>
      <c r="BS274" s="4"/>
    </row>
    <row r="275" spans="5:71" ht="15">
      <c r="E275" s="47"/>
      <c r="F275" s="13"/>
      <c r="G275" s="4"/>
      <c r="K275" s="6"/>
      <c r="L275" s="6"/>
      <c r="M275" s="4"/>
      <c r="N275" s="13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13"/>
      <c r="AT275" s="4"/>
      <c r="AU275" s="4"/>
      <c r="AV275" s="4"/>
      <c r="AW275" s="4"/>
      <c r="AX275" s="4"/>
      <c r="AY275" s="4"/>
      <c r="AZ275" s="13"/>
      <c r="BA275" s="4"/>
      <c r="BB275" s="4"/>
      <c r="BC275" s="13"/>
      <c r="BD275" s="4"/>
      <c r="BE275" s="4"/>
      <c r="BF275" s="13"/>
      <c r="BG275" s="4"/>
      <c r="BH275" s="4"/>
      <c r="BI275" s="4"/>
      <c r="BJ275" s="4"/>
      <c r="BK275" s="4"/>
      <c r="BL275" s="4"/>
      <c r="BM275" s="4"/>
      <c r="BN275" s="4"/>
      <c r="BO275" s="4"/>
      <c r="BP275" s="4"/>
      <c r="BQ275" s="4"/>
      <c r="BR275" s="4"/>
      <c r="BS275" s="4"/>
    </row>
    <row r="276" spans="5:71" ht="15">
      <c r="E276" s="47"/>
      <c r="F276" s="13"/>
      <c r="G276" s="4"/>
      <c r="K276" s="6"/>
      <c r="L276" s="6"/>
      <c r="M276" s="4"/>
      <c r="N276" s="13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13"/>
      <c r="AT276" s="4"/>
      <c r="AU276" s="4"/>
      <c r="AV276" s="4"/>
      <c r="AW276" s="4"/>
      <c r="AX276" s="4"/>
      <c r="AY276" s="4"/>
      <c r="AZ276" s="13"/>
      <c r="BA276" s="4"/>
      <c r="BB276" s="4"/>
      <c r="BC276" s="13"/>
      <c r="BD276" s="4"/>
      <c r="BE276" s="4"/>
      <c r="BF276" s="13"/>
      <c r="BG276" s="4"/>
      <c r="BH276" s="4"/>
      <c r="BI276" s="4"/>
      <c r="BJ276" s="4"/>
      <c r="BK276" s="4"/>
      <c r="BL276" s="4"/>
      <c r="BM276" s="4"/>
      <c r="BN276" s="4"/>
      <c r="BO276" s="4"/>
      <c r="BP276" s="4"/>
      <c r="BQ276" s="4"/>
      <c r="BR276" s="4"/>
      <c r="BS276" s="4"/>
    </row>
    <row r="277" spans="5:71" ht="15">
      <c r="E277" s="47"/>
      <c r="F277" s="13"/>
      <c r="G277" s="4"/>
      <c r="K277" s="6"/>
      <c r="L277" s="6"/>
      <c r="M277" s="4"/>
      <c r="N277" s="13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13"/>
      <c r="AT277" s="4"/>
      <c r="AU277" s="4"/>
      <c r="AV277" s="4"/>
      <c r="AW277" s="4"/>
      <c r="AX277" s="4"/>
      <c r="AY277" s="4"/>
      <c r="AZ277" s="13"/>
      <c r="BA277" s="4"/>
      <c r="BB277" s="4"/>
      <c r="BC277" s="13"/>
      <c r="BD277" s="4"/>
      <c r="BE277" s="4"/>
      <c r="BF277" s="13"/>
      <c r="BG277" s="4"/>
      <c r="BH277" s="4"/>
      <c r="BI277" s="4"/>
      <c r="BJ277" s="4"/>
      <c r="BK277" s="4"/>
      <c r="BL277" s="4"/>
      <c r="BM277" s="4"/>
      <c r="BN277" s="4"/>
      <c r="BO277" s="4"/>
      <c r="BP277" s="4"/>
      <c r="BQ277" s="4"/>
      <c r="BR277" s="4"/>
      <c r="BS277" s="4"/>
    </row>
    <row r="278" spans="5:71" ht="15">
      <c r="E278" s="47"/>
      <c r="F278" s="13"/>
      <c r="G278" s="4"/>
      <c r="K278" s="6"/>
      <c r="L278" s="6"/>
      <c r="M278" s="4"/>
      <c r="N278" s="13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13"/>
      <c r="AT278" s="4"/>
      <c r="AU278" s="4"/>
      <c r="AV278" s="4"/>
      <c r="AW278" s="4"/>
      <c r="AX278" s="4"/>
      <c r="AY278" s="4"/>
      <c r="AZ278" s="13"/>
      <c r="BA278" s="4"/>
      <c r="BB278" s="4"/>
      <c r="BC278" s="13"/>
      <c r="BD278" s="4"/>
      <c r="BE278" s="4"/>
      <c r="BF278" s="13"/>
      <c r="BG278" s="4"/>
      <c r="BH278" s="4"/>
      <c r="BI278" s="4"/>
      <c r="BJ278" s="4"/>
      <c r="BK278" s="4"/>
      <c r="BL278" s="4"/>
      <c r="BM278" s="4"/>
      <c r="BN278" s="4"/>
      <c r="BO278" s="4"/>
      <c r="BP278" s="4"/>
      <c r="BQ278" s="4"/>
      <c r="BR278" s="4"/>
      <c r="BS278" s="4"/>
    </row>
    <row r="279" spans="5:71" ht="15">
      <c r="E279" s="47"/>
      <c r="F279" s="13"/>
      <c r="G279" s="4"/>
      <c r="K279" s="6"/>
      <c r="L279" s="6"/>
      <c r="M279" s="4"/>
      <c r="N279" s="13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13"/>
      <c r="AT279" s="4"/>
      <c r="AU279" s="4"/>
      <c r="AV279" s="4"/>
      <c r="AW279" s="4"/>
      <c r="AX279" s="4"/>
      <c r="AY279" s="4"/>
      <c r="AZ279" s="13"/>
      <c r="BA279" s="4"/>
      <c r="BB279" s="4"/>
      <c r="BC279" s="13"/>
      <c r="BD279" s="4"/>
      <c r="BE279" s="4"/>
      <c r="BF279" s="13"/>
      <c r="BG279" s="4"/>
      <c r="BH279" s="4"/>
      <c r="BI279" s="4"/>
      <c r="BJ279" s="4"/>
      <c r="BK279" s="4"/>
      <c r="BL279" s="4"/>
      <c r="BM279" s="4"/>
      <c r="BN279" s="4"/>
      <c r="BO279" s="4"/>
      <c r="BP279" s="4"/>
      <c r="BQ279" s="4"/>
      <c r="BR279" s="4"/>
      <c r="BS279" s="4"/>
    </row>
    <row r="280" spans="5:71" ht="15">
      <c r="E280" s="47"/>
      <c r="F280" s="13"/>
      <c r="G280" s="4"/>
      <c r="K280" s="6"/>
      <c r="L280" s="6"/>
      <c r="M280" s="4"/>
      <c r="N280" s="13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13"/>
      <c r="AT280" s="4"/>
      <c r="AU280" s="4"/>
      <c r="AV280" s="4"/>
      <c r="AW280" s="4"/>
      <c r="AX280" s="4"/>
      <c r="AY280" s="4"/>
      <c r="AZ280" s="13"/>
      <c r="BA280" s="4"/>
      <c r="BB280" s="4"/>
      <c r="BC280" s="13"/>
      <c r="BD280" s="4"/>
      <c r="BE280" s="4"/>
      <c r="BF280" s="13"/>
      <c r="BG280" s="4"/>
      <c r="BH280" s="4"/>
      <c r="BI280" s="4"/>
      <c r="BJ280" s="4"/>
      <c r="BK280" s="4"/>
      <c r="BL280" s="4"/>
      <c r="BM280" s="4"/>
      <c r="BN280" s="4"/>
      <c r="BO280" s="4"/>
      <c r="BP280" s="4"/>
      <c r="BQ280" s="4"/>
      <c r="BR280" s="4"/>
      <c r="BS280" s="4"/>
    </row>
    <row r="281" spans="5:71" ht="15">
      <c r="E281" s="47"/>
      <c r="F281" s="13"/>
      <c r="G281" s="4"/>
      <c r="K281" s="6"/>
      <c r="L281" s="6"/>
      <c r="M281" s="4"/>
      <c r="N281" s="13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13"/>
      <c r="AT281" s="4"/>
      <c r="AU281" s="4"/>
      <c r="AV281" s="4"/>
      <c r="AW281" s="4"/>
      <c r="AX281" s="4"/>
      <c r="AY281" s="4"/>
      <c r="AZ281" s="13"/>
      <c r="BA281" s="4"/>
      <c r="BB281" s="4"/>
      <c r="BC281" s="13"/>
      <c r="BD281" s="4"/>
      <c r="BE281" s="4"/>
      <c r="BF281" s="13"/>
      <c r="BG281" s="4"/>
      <c r="BH281" s="4"/>
      <c r="BI281" s="4"/>
      <c r="BJ281" s="4"/>
      <c r="BK281" s="4"/>
      <c r="BL281" s="4"/>
      <c r="BM281" s="4"/>
      <c r="BN281" s="4"/>
      <c r="BO281" s="4"/>
      <c r="BP281" s="4"/>
      <c r="BQ281" s="4"/>
      <c r="BR281" s="4"/>
      <c r="BS281" s="4"/>
    </row>
    <row r="282" spans="5:71" ht="15">
      <c r="E282" s="47"/>
      <c r="F282" s="13"/>
      <c r="G282" s="4"/>
      <c r="K282" s="6"/>
      <c r="L282" s="6"/>
      <c r="M282" s="4"/>
      <c r="N282" s="13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13"/>
      <c r="AT282" s="4"/>
      <c r="AU282" s="4"/>
      <c r="AV282" s="4"/>
      <c r="AW282" s="4"/>
      <c r="AX282" s="4"/>
      <c r="AY282" s="4"/>
      <c r="AZ282" s="13"/>
      <c r="BA282" s="4"/>
      <c r="BB282" s="4"/>
      <c r="BC282" s="13"/>
      <c r="BD282" s="4"/>
      <c r="BE282" s="4"/>
      <c r="BF282" s="13"/>
      <c r="BG282" s="4"/>
      <c r="BH282" s="4"/>
      <c r="BI282" s="4"/>
      <c r="BJ282" s="4"/>
      <c r="BK282" s="4"/>
      <c r="BL282" s="4"/>
      <c r="BM282" s="4"/>
      <c r="BN282" s="4"/>
      <c r="BO282" s="4"/>
      <c r="BP282" s="4"/>
      <c r="BQ282" s="4"/>
      <c r="BR282" s="4"/>
      <c r="BS282" s="4"/>
    </row>
    <row r="283" spans="5:71" ht="15">
      <c r="E283" s="47"/>
      <c r="F283" s="13"/>
      <c r="G283" s="4"/>
      <c r="K283" s="6"/>
      <c r="L283" s="6"/>
      <c r="M283" s="4"/>
      <c r="N283" s="13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13"/>
      <c r="AT283" s="4"/>
      <c r="AU283" s="4"/>
      <c r="AV283" s="4"/>
      <c r="AW283" s="4"/>
      <c r="AX283" s="4"/>
      <c r="AY283" s="4"/>
      <c r="AZ283" s="13"/>
      <c r="BA283" s="4"/>
      <c r="BB283" s="4"/>
      <c r="BC283" s="13"/>
      <c r="BD283" s="4"/>
      <c r="BE283" s="4"/>
      <c r="BF283" s="13"/>
      <c r="BG283" s="4"/>
      <c r="BH283" s="4"/>
      <c r="BI283" s="4"/>
      <c r="BJ283" s="4"/>
      <c r="BK283" s="4"/>
      <c r="BL283" s="4"/>
      <c r="BM283" s="4"/>
      <c r="BN283" s="4"/>
      <c r="BO283" s="4"/>
      <c r="BP283" s="4"/>
      <c r="BQ283" s="4"/>
      <c r="BR283" s="4"/>
      <c r="BS283" s="4"/>
    </row>
    <row r="284" spans="5:71" ht="15">
      <c r="E284" s="47"/>
      <c r="F284" s="13"/>
      <c r="G284" s="4"/>
      <c r="K284" s="6"/>
      <c r="L284" s="6"/>
      <c r="M284" s="4"/>
      <c r="N284" s="13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  <c r="AS284" s="13"/>
      <c r="AT284" s="4"/>
      <c r="AU284" s="4"/>
      <c r="AV284" s="4"/>
      <c r="AW284" s="4"/>
      <c r="AX284" s="4"/>
      <c r="AY284" s="4"/>
      <c r="AZ284" s="13"/>
      <c r="BA284" s="4"/>
      <c r="BB284" s="4"/>
      <c r="BC284" s="13"/>
      <c r="BD284" s="4"/>
      <c r="BE284" s="4"/>
      <c r="BF284" s="13"/>
      <c r="BG284" s="4"/>
      <c r="BH284" s="4"/>
      <c r="BI284" s="4"/>
      <c r="BJ284" s="4"/>
      <c r="BK284" s="4"/>
      <c r="BL284" s="4"/>
      <c r="BM284" s="4"/>
      <c r="BN284" s="4"/>
      <c r="BO284" s="4"/>
      <c r="BP284" s="4"/>
      <c r="BQ284" s="4"/>
      <c r="BR284" s="4"/>
      <c r="BS284" s="4"/>
    </row>
    <row r="285" spans="5:71" ht="15">
      <c r="E285" s="47"/>
      <c r="F285" s="13"/>
      <c r="G285" s="4"/>
      <c r="K285" s="6"/>
      <c r="L285" s="6"/>
      <c r="M285" s="4"/>
      <c r="N285" s="13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AR285" s="4"/>
      <c r="AS285" s="13"/>
      <c r="AT285" s="4"/>
      <c r="AU285" s="4"/>
      <c r="AV285" s="4"/>
      <c r="AW285" s="4"/>
      <c r="AX285" s="4"/>
      <c r="AY285" s="4"/>
      <c r="AZ285" s="13"/>
      <c r="BA285" s="4"/>
      <c r="BB285" s="4"/>
      <c r="BC285" s="13"/>
      <c r="BD285" s="4"/>
      <c r="BE285" s="4"/>
      <c r="BF285" s="13"/>
      <c r="BG285" s="4"/>
      <c r="BH285" s="4"/>
      <c r="BI285" s="4"/>
      <c r="BJ285" s="4"/>
      <c r="BK285" s="4"/>
      <c r="BL285" s="4"/>
      <c r="BM285" s="4"/>
      <c r="BN285" s="4"/>
      <c r="BO285" s="4"/>
      <c r="BP285" s="4"/>
      <c r="BQ285" s="4"/>
      <c r="BR285" s="4"/>
      <c r="BS285" s="4"/>
    </row>
    <row r="286" spans="5:71" ht="15">
      <c r="E286" s="47"/>
      <c r="F286" s="13"/>
      <c r="G286" s="4"/>
      <c r="K286" s="6"/>
      <c r="L286" s="6"/>
      <c r="M286" s="4"/>
      <c r="N286" s="13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13"/>
      <c r="AT286" s="4"/>
      <c r="AU286" s="4"/>
      <c r="AV286" s="4"/>
      <c r="AW286" s="4"/>
      <c r="AX286" s="4"/>
      <c r="AY286" s="4"/>
      <c r="AZ286" s="13"/>
      <c r="BA286" s="4"/>
      <c r="BB286" s="4"/>
      <c r="BC286" s="13"/>
      <c r="BD286" s="4"/>
      <c r="BE286" s="4"/>
      <c r="BF286" s="13"/>
      <c r="BG286" s="4"/>
      <c r="BH286" s="4"/>
      <c r="BI286" s="4"/>
      <c r="BJ286" s="4"/>
      <c r="BK286" s="4"/>
      <c r="BL286" s="4"/>
      <c r="BM286" s="4"/>
      <c r="BN286" s="4"/>
      <c r="BO286" s="4"/>
      <c r="BP286" s="4"/>
      <c r="BQ286" s="4"/>
      <c r="BR286" s="4"/>
      <c r="BS286" s="4"/>
    </row>
    <row r="287" spans="5:71" ht="15">
      <c r="E287" s="47"/>
      <c r="F287" s="13"/>
      <c r="G287" s="4"/>
      <c r="K287" s="6"/>
      <c r="L287" s="6"/>
      <c r="M287" s="4"/>
      <c r="N287" s="13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  <c r="AR287" s="4"/>
      <c r="AS287" s="13"/>
      <c r="AT287" s="4"/>
      <c r="AU287" s="4"/>
      <c r="AV287" s="4"/>
      <c r="AW287" s="4"/>
      <c r="AX287" s="4"/>
      <c r="AY287" s="4"/>
      <c r="AZ287" s="13"/>
      <c r="BA287" s="4"/>
      <c r="BB287" s="4"/>
      <c r="BC287" s="13"/>
      <c r="BD287" s="4"/>
      <c r="BE287" s="4"/>
      <c r="BF287" s="13"/>
      <c r="BG287" s="4"/>
      <c r="BH287" s="4"/>
      <c r="BI287" s="4"/>
      <c r="BJ287" s="4"/>
      <c r="BK287" s="4"/>
      <c r="BL287" s="4"/>
      <c r="BM287" s="4"/>
      <c r="BN287" s="4"/>
      <c r="BO287" s="4"/>
      <c r="BP287" s="4"/>
      <c r="BQ287" s="4"/>
      <c r="BR287" s="4"/>
      <c r="BS287" s="4"/>
    </row>
    <row r="288" spans="5:71" ht="15">
      <c r="E288" s="47"/>
      <c r="F288" s="13"/>
      <c r="G288" s="4"/>
      <c r="K288" s="6"/>
      <c r="L288" s="6"/>
      <c r="M288" s="4"/>
      <c r="N288" s="13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"/>
      <c r="AR288" s="4"/>
      <c r="AS288" s="13"/>
      <c r="AT288" s="4"/>
      <c r="AU288" s="4"/>
      <c r="AV288" s="4"/>
      <c r="AW288" s="4"/>
      <c r="AX288" s="4"/>
      <c r="AY288" s="4"/>
      <c r="AZ288" s="13"/>
      <c r="BA288" s="4"/>
      <c r="BB288" s="4"/>
      <c r="BC288" s="13"/>
      <c r="BD288" s="4"/>
      <c r="BE288" s="4"/>
      <c r="BF288" s="13"/>
      <c r="BG288" s="4"/>
      <c r="BH288" s="4"/>
      <c r="BI288" s="4"/>
      <c r="BJ288" s="4"/>
      <c r="BK288" s="4"/>
      <c r="BL288" s="4"/>
      <c r="BM288" s="4"/>
      <c r="BN288" s="4"/>
      <c r="BO288" s="4"/>
      <c r="BP288" s="4"/>
      <c r="BQ288" s="4"/>
      <c r="BR288" s="4"/>
      <c r="BS288" s="4"/>
    </row>
    <row r="289" spans="5:71" ht="15">
      <c r="E289" s="47"/>
      <c r="F289" s="13"/>
      <c r="G289" s="4"/>
      <c r="K289" s="6"/>
      <c r="L289" s="6"/>
      <c r="M289" s="4"/>
      <c r="N289" s="13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  <c r="AR289" s="4"/>
      <c r="AS289" s="13"/>
      <c r="AT289" s="4"/>
      <c r="AU289" s="4"/>
      <c r="AV289" s="4"/>
      <c r="AW289" s="4"/>
      <c r="AX289" s="4"/>
      <c r="AY289" s="4"/>
      <c r="AZ289" s="13"/>
      <c r="BA289" s="4"/>
      <c r="BB289" s="4"/>
      <c r="BC289" s="13"/>
      <c r="BD289" s="4"/>
      <c r="BE289" s="4"/>
      <c r="BF289" s="13"/>
      <c r="BG289" s="4"/>
      <c r="BH289" s="4"/>
      <c r="BI289" s="4"/>
      <c r="BJ289" s="4"/>
      <c r="BK289" s="4"/>
      <c r="BL289" s="4"/>
      <c r="BM289" s="4"/>
      <c r="BN289" s="4"/>
      <c r="BO289" s="4"/>
      <c r="BP289" s="4"/>
      <c r="BQ289" s="4"/>
      <c r="BR289" s="4"/>
      <c r="BS289" s="4"/>
    </row>
    <row r="290" spans="5:71" ht="15">
      <c r="E290" s="47"/>
      <c r="F290" s="13"/>
      <c r="G290" s="4"/>
      <c r="K290" s="6"/>
      <c r="L290" s="6"/>
      <c r="M290" s="4"/>
      <c r="N290" s="13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  <c r="AQ290" s="4"/>
      <c r="AR290" s="4"/>
      <c r="AS290" s="13"/>
      <c r="AT290" s="4"/>
      <c r="AU290" s="4"/>
      <c r="AV290" s="4"/>
      <c r="AW290" s="4"/>
      <c r="AX290" s="4"/>
      <c r="AY290" s="4"/>
      <c r="AZ290" s="13"/>
      <c r="BA290" s="4"/>
      <c r="BB290" s="4"/>
      <c r="BC290" s="13"/>
      <c r="BD290" s="4"/>
      <c r="BE290" s="4"/>
      <c r="BF290" s="13"/>
      <c r="BG290" s="4"/>
      <c r="BH290" s="4"/>
      <c r="BI290" s="4"/>
      <c r="BJ290" s="4"/>
      <c r="BK290" s="4"/>
      <c r="BL290" s="4"/>
      <c r="BM290" s="4"/>
      <c r="BN290" s="4"/>
      <c r="BO290" s="4"/>
      <c r="BP290" s="4"/>
      <c r="BQ290" s="4"/>
      <c r="BR290" s="4"/>
      <c r="BS290" s="4"/>
    </row>
    <row r="291" spans="5:71" ht="15">
      <c r="E291" s="47"/>
      <c r="F291" s="13"/>
      <c r="G291" s="4"/>
      <c r="K291" s="6"/>
      <c r="L291" s="6"/>
      <c r="M291" s="4"/>
      <c r="N291" s="13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R291" s="4"/>
      <c r="AS291" s="13"/>
      <c r="AT291" s="4"/>
      <c r="AU291" s="4"/>
      <c r="AV291" s="4"/>
      <c r="AW291" s="4"/>
      <c r="AX291" s="4"/>
      <c r="AY291" s="4"/>
      <c r="AZ291" s="13"/>
      <c r="BA291" s="4"/>
      <c r="BB291" s="4"/>
      <c r="BC291" s="13"/>
      <c r="BD291" s="4"/>
      <c r="BE291" s="4"/>
      <c r="BF291" s="13"/>
      <c r="BG291" s="4"/>
      <c r="BH291" s="4"/>
      <c r="BI291" s="4"/>
      <c r="BJ291" s="4"/>
      <c r="BK291" s="4"/>
      <c r="BL291" s="4"/>
      <c r="BM291" s="4"/>
      <c r="BN291" s="4"/>
      <c r="BO291" s="4"/>
      <c r="BP291" s="4"/>
      <c r="BQ291" s="4"/>
      <c r="BR291" s="4"/>
      <c r="BS291" s="4"/>
    </row>
    <row r="292" spans="5:71" ht="15">
      <c r="E292" s="47"/>
      <c r="F292" s="13"/>
      <c r="G292" s="4"/>
      <c r="K292" s="6"/>
      <c r="L292" s="6"/>
      <c r="M292" s="4"/>
      <c r="N292" s="13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R292" s="4"/>
      <c r="AS292" s="13"/>
      <c r="AT292" s="4"/>
      <c r="AU292" s="4"/>
      <c r="AV292" s="4"/>
      <c r="AW292" s="4"/>
      <c r="AX292" s="4"/>
      <c r="AY292" s="4"/>
      <c r="AZ292" s="13"/>
      <c r="BA292" s="4"/>
      <c r="BB292" s="4"/>
      <c r="BC292" s="13"/>
      <c r="BD292" s="4"/>
      <c r="BE292" s="4"/>
      <c r="BF292" s="13"/>
      <c r="BG292" s="4"/>
      <c r="BH292" s="4"/>
      <c r="BI292" s="4"/>
      <c r="BJ292" s="4"/>
      <c r="BK292" s="4"/>
      <c r="BL292" s="4"/>
      <c r="BM292" s="4"/>
      <c r="BN292" s="4"/>
      <c r="BO292" s="4"/>
      <c r="BP292" s="4"/>
      <c r="BQ292" s="4"/>
      <c r="BR292" s="4"/>
      <c r="BS292" s="4"/>
    </row>
    <row r="293" spans="5:71" ht="15">
      <c r="E293" s="47"/>
      <c r="F293" s="13"/>
      <c r="G293" s="4"/>
      <c r="K293" s="6"/>
      <c r="L293" s="6"/>
      <c r="M293" s="4"/>
      <c r="N293" s="13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4"/>
      <c r="AR293" s="4"/>
      <c r="AS293" s="13"/>
      <c r="AT293" s="4"/>
      <c r="AU293" s="4"/>
      <c r="AV293" s="4"/>
      <c r="AW293" s="4"/>
      <c r="AX293" s="4"/>
      <c r="AY293" s="4"/>
      <c r="AZ293" s="13"/>
      <c r="BA293" s="4"/>
      <c r="BB293" s="4"/>
      <c r="BC293" s="13"/>
      <c r="BD293" s="4"/>
      <c r="BE293" s="4"/>
      <c r="BF293" s="13"/>
      <c r="BG293" s="4"/>
      <c r="BH293" s="4"/>
      <c r="BI293" s="4"/>
      <c r="BJ293" s="4"/>
      <c r="BK293" s="4"/>
      <c r="BL293" s="4"/>
      <c r="BM293" s="4"/>
      <c r="BN293" s="4"/>
      <c r="BO293" s="4"/>
      <c r="BP293" s="4"/>
      <c r="BQ293" s="4"/>
      <c r="BR293" s="4"/>
      <c r="BS293" s="4"/>
    </row>
    <row r="294" spans="5:71" ht="15">
      <c r="E294" s="47"/>
      <c r="F294" s="13"/>
      <c r="G294" s="4"/>
      <c r="K294" s="6"/>
      <c r="L294" s="6"/>
      <c r="M294" s="4"/>
      <c r="N294" s="13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4"/>
      <c r="AR294" s="4"/>
      <c r="AS294" s="13"/>
      <c r="AT294" s="4"/>
      <c r="AU294" s="4"/>
      <c r="AV294" s="4"/>
      <c r="AW294" s="4"/>
      <c r="AX294" s="4"/>
      <c r="AY294" s="4"/>
      <c r="AZ294" s="13"/>
      <c r="BA294" s="4"/>
      <c r="BB294" s="4"/>
      <c r="BC294" s="13"/>
      <c r="BD294" s="4"/>
      <c r="BE294" s="4"/>
      <c r="BF294" s="13"/>
      <c r="BG294" s="4"/>
      <c r="BH294" s="4"/>
      <c r="BI294" s="4"/>
      <c r="BJ294" s="4"/>
      <c r="BK294" s="4"/>
      <c r="BL294" s="4"/>
      <c r="BM294" s="4"/>
      <c r="BN294" s="4"/>
      <c r="BO294" s="4"/>
      <c r="BP294" s="4"/>
      <c r="BQ294" s="4"/>
      <c r="BR294" s="4"/>
      <c r="BS294" s="4"/>
    </row>
    <row r="295" spans="5:71" ht="15">
      <c r="E295" s="1"/>
      <c r="F295" s="13"/>
      <c r="G295" s="4"/>
      <c r="N295" s="20"/>
      <c r="O295" s="3"/>
      <c r="AS295" s="20"/>
      <c r="AT295" s="3"/>
      <c r="AZ295" s="20"/>
      <c r="BA295" s="3"/>
      <c r="BC295" s="20"/>
      <c r="BD295" s="3"/>
      <c r="BF295" s="20"/>
      <c r="BG295" s="3"/>
    </row>
    <row r="296" spans="5:71" ht="15">
      <c r="E296" s="1"/>
      <c r="F296" s="13"/>
      <c r="G296" s="4"/>
      <c r="N296" s="20"/>
      <c r="O296" s="3"/>
      <c r="AS296" s="20"/>
      <c r="AT296" s="3"/>
      <c r="AZ296" s="20"/>
      <c r="BA296" s="3"/>
      <c r="BC296" s="20"/>
      <c r="BD296" s="3"/>
      <c r="BF296" s="20"/>
      <c r="BG296" s="3"/>
    </row>
    <row r="297" spans="5:71" ht="15">
      <c r="E297" s="1"/>
      <c r="F297" s="13"/>
      <c r="G297" s="4"/>
      <c r="N297" s="20"/>
      <c r="O297" s="3"/>
      <c r="AS297" s="20"/>
      <c r="AT297" s="3"/>
      <c r="AZ297" s="20"/>
      <c r="BA297" s="3"/>
      <c r="BC297" s="20"/>
      <c r="BD297" s="3"/>
      <c r="BF297" s="20"/>
      <c r="BG297" s="3"/>
    </row>
    <row r="298" spans="5:71" ht="15">
      <c r="E298" s="1"/>
      <c r="N298" s="20"/>
      <c r="O298" s="3"/>
      <c r="AS298" s="20"/>
      <c r="AT298" s="3"/>
      <c r="AZ298" s="20"/>
      <c r="BA298" s="3"/>
      <c r="BC298" s="20"/>
      <c r="BD298" s="3"/>
      <c r="BF298" s="20"/>
      <c r="BG298" s="3"/>
    </row>
    <row r="299" spans="5:71" ht="15">
      <c r="E299" s="1"/>
      <c r="N299" s="20"/>
      <c r="O299" s="3"/>
      <c r="AS299" s="20"/>
      <c r="AT299" s="3"/>
      <c r="AZ299" s="20"/>
      <c r="BA299" s="3"/>
      <c r="BC299" s="20"/>
      <c r="BD299" s="3"/>
      <c r="BF299" s="20"/>
      <c r="BG299" s="3"/>
    </row>
    <row r="300" spans="5:71" ht="15">
      <c r="E300" s="1"/>
      <c r="N300" s="20"/>
      <c r="O300" s="3"/>
      <c r="AS300" s="20"/>
      <c r="AT300" s="3"/>
      <c r="AZ300" s="20"/>
      <c r="BA300" s="3"/>
      <c r="BC300" s="20"/>
      <c r="BD300" s="3"/>
      <c r="BF300" s="20"/>
      <c r="BG300" s="3"/>
    </row>
    <row r="301" spans="5:71" ht="15">
      <c r="E301" s="1"/>
      <c r="AS301" s="20"/>
      <c r="AT301" s="3"/>
      <c r="AZ301" s="20"/>
      <c r="BA301" s="3"/>
      <c r="BC301" s="20"/>
      <c r="BD301" s="3"/>
      <c r="BF301" s="20"/>
      <c r="BG301" s="3"/>
    </row>
    <row r="302" spans="5:71" ht="15">
      <c r="E302" s="1"/>
      <c r="AS302" s="20"/>
      <c r="AT302" s="3"/>
      <c r="AZ302" s="20"/>
      <c r="BA302" s="3"/>
      <c r="BC302" s="20"/>
      <c r="BD302" s="3"/>
      <c r="BF302" s="20"/>
      <c r="BG302" s="3"/>
    </row>
    <row r="303" spans="5:71" ht="15">
      <c r="E303" s="1"/>
      <c r="AS303" s="20"/>
      <c r="AT303" s="3"/>
      <c r="AZ303" s="20"/>
      <c r="BA303" s="3"/>
      <c r="BC303" s="20"/>
      <c r="BD303" s="3"/>
      <c r="BF303" s="20"/>
      <c r="BG303" s="3"/>
    </row>
    <row r="304" spans="5:71" ht="15">
      <c r="E304" s="1"/>
      <c r="AS304" s="20"/>
      <c r="AT304" s="3"/>
      <c r="AZ304" s="20"/>
      <c r="BA304" s="3"/>
      <c r="BC304" s="20"/>
      <c r="BD304" s="3"/>
      <c r="BF304" s="20"/>
      <c r="BG304" s="3"/>
    </row>
    <row r="305" spans="5:59" ht="15">
      <c r="E305" s="1"/>
      <c r="AS305" s="20"/>
      <c r="AT305" s="3"/>
      <c r="AZ305" s="20"/>
      <c r="BA305" s="3"/>
      <c r="BC305" s="20"/>
      <c r="BD305" s="3"/>
      <c r="BF305" s="20"/>
      <c r="BG305" s="3"/>
    </row>
    <row r="306" spans="5:59" ht="15">
      <c r="E306" s="1"/>
      <c r="AS306" s="20"/>
      <c r="AT306" s="3"/>
      <c r="AZ306" s="20"/>
      <c r="BA306" s="3"/>
      <c r="BC306" s="20"/>
      <c r="BD306" s="3"/>
      <c r="BF306" s="20"/>
      <c r="BG306" s="3"/>
    </row>
    <row r="307" spans="5:59" ht="15">
      <c r="E307" s="1"/>
      <c r="AS307" s="20"/>
      <c r="AT307" s="3"/>
      <c r="AZ307" s="20"/>
      <c r="BA307" s="3"/>
      <c r="BC307" s="20"/>
      <c r="BD307" s="3"/>
      <c r="BF307" s="20"/>
      <c r="BG307" s="3"/>
    </row>
    <row r="308" spans="5:59" ht="15">
      <c r="E308" s="1"/>
      <c r="AS308" s="20"/>
      <c r="AT308" s="3"/>
      <c r="AZ308" s="20"/>
      <c r="BA308" s="3"/>
      <c r="BC308" s="20"/>
      <c r="BD308" s="3"/>
      <c r="BF308" s="20"/>
      <c r="BG308" s="3"/>
    </row>
    <row r="309" spans="5:59" ht="15">
      <c r="E309" s="1"/>
      <c r="AS309" s="20"/>
      <c r="AT309" s="3"/>
      <c r="AZ309" s="20"/>
      <c r="BA309" s="3"/>
      <c r="BC309" s="20"/>
      <c r="BD309" s="3"/>
      <c r="BF309" s="20"/>
      <c r="BG309" s="3"/>
    </row>
    <row r="310" spans="5:59" ht="15">
      <c r="E310" s="1"/>
      <c r="AS310" s="20"/>
      <c r="AT310" s="3"/>
      <c r="AZ310" s="20"/>
      <c r="BA310" s="3"/>
      <c r="BC310" s="20"/>
      <c r="BD310" s="3"/>
      <c r="BF310" s="20"/>
      <c r="BG310" s="3"/>
    </row>
    <row r="311" spans="5:59" ht="15">
      <c r="E311" s="1"/>
      <c r="AS311" s="20"/>
      <c r="AT311" s="3"/>
      <c r="AZ311" s="20"/>
      <c r="BA311" s="3"/>
      <c r="BC311" s="20"/>
      <c r="BD311" s="3"/>
      <c r="BF311" s="20"/>
      <c r="BG311" s="3"/>
    </row>
    <row r="312" spans="5:59" ht="15">
      <c r="E312" s="1"/>
      <c r="AS312" s="20"/>
      <c r="AT312" s="3"/>
      <c r="AZ312" s="20"/>
      <c r="BA312" s="3"/>
      <c r="BC312" s="20"/>
      <c r="BD312" s="3"/>
      <c r="BF312" s="20"/>
      <c r="BG312" s="3"/>
    </row>
    <row r="313" spans="5:59" ht="15">
      <c r="E313" s="1"/>
      <c r="AS313" s="20"/>
      <c r="AT313" s="3"/>
      <c r="AZ313" s="20"/>
      <c r="BA313" s="3"/>
      <c r="BC313" s="20"/>
      <c r="BD313" s="3"/>
      <c r="BF313" s="20"/>
      <c r="BG313" s="3"/>
    </row>
    <row r="314" spans="5:59" ht="15">
      <c r="E314" s="1"/>
      <c r="AS314" s="20"/>
      <c r="AT314" s="3"/>
      <c r="AZ314" s="20"/>
      <c r="BA314" s="3"/>
      <c r="BC314" s="20"/>
      <c r="BD314" s="3"/>
      <c r="BF314" s="20"/>
      <c r="BG314" s="3"/>
    </row>
    <row r="315" spans="5:59" ht="15">
      <c r="E315" s="1"/>
      <c r="AS315" s="20"/>
      <c r="AT315" s="3"/>
      <c r="AZ315" s="20"/>
      <c r="BA315" s="3"/>
      <c r="BC315" s="20"/>
      <c r="BD315" s="3"/>
      <c r="BF315" s="20"/>
      <c r="BG315" s="3"/>
    </row>
    <row r="316" spans="5:59" ht="15">
      <c r="E316" s="1"/>
      <c r="AS316" s="20"/>
      <c r="AT316" s="3"/>
      <c r="AZ316" s="20"/>
      <c r="BA316" s="3"/>
      <c r="BC316" s="20"/>
      <c r="BD316" s="3"/>
      <c r="BF316" s="20"/>
      <c r="BG316" s="3"/>
    </row>
    <row r="317" spans="5:59" ht="15">
      <c r="E317" s="1"/>
      <c r="AS317" s="20"/>
      <c r="AT317" s="3"/>
      <c r="AZ317" s="20"/>
      <c r="BA317" s="3"/>
      <c r="BC317" s="20"/>
      <c r="BD317" s="3"/>
      <c r="BF317" s="20"/>
      <c r="BG317" s="3"/>
    </row>
    <row r="318" spans="5:59" ht="15">
      <c r="E318" s="1"/>
      <c r="AS318" s="20"/>
      <c r="AT318" s="3"/>
      <c r="AZ318" s="20"/>
      <c r="BA318" s="3"/>
      <c r="BC318" s="20"/>
      <c r="BD318" s="3"/>
      <c r="BF318" s="20"/>
      <c r="BG318" s="3"/>
    </row>
    <row r="319" spans="5:59" ht="15">
      <c r="E319" s="1"/>
      <c r="AS319" s="20"/>
      <c r="AT319" s="3"/>
      <c r="AZ319" s="20"/>
      <c r="BA319" s="3"/>
      <c r="BC319" s="20"/>
      <c r="BD319" s="3"/>
      <c r="BF319" s="20"/>
      <c r="BG319" s="3"/>
    </row>
    <row r="320" spans="5:59" ht="15">
      <c r="E320" s="1"/>
      <c r="AS320" s="20"/>
      <c r="AT320" s="3"/>
      <c r="AZ320" s="20"/>
      <c r="BA320" s="3"/>
      <c r="BC320" s="20"/>
      <c r="BD320" s="3"/>
      <c r="BF320" s="20"/>
      <c r="BG320" s="3"/>
    </row>
    <row r="321" spans="5:59" ht="15">
      <c r="E321" s="1"/>
      <c r="AS321" s="20"/>
      <c r="AT321" s="3"/>
      <c r="AZ321" s="20"/>
      <c r="BA321" s="3"/>
      <c r="BC321" s="20"/>
      <c r="BD321" s="3"/>
      <c r="BF321" s="20"/>
      <c r="BG321" s="3"/>
    </row>
    <row r="322" spans="5:59" ht="15">
      <c r="E322" s="1"/>
      <c r="AS322" s="20"/>
      <c r="AT322" s="3"/>
      <c r="AZ322" s="20"/>
      <c r="BA322" s="3"/>
      <c r="BC322" s="20"/>
      <c r="BD322" s="3"/>
      <c r="BF322" s="20"/>
      <c r="BG322" s="3"/>
    </row>
    <row r="323" spans="5:59" ht="15">
      <c r="E323" s="1"/>
      <c r="AS323" s="20"/>
      <c r="AT323" s="3"/>
      <c r="AZ323" s="20"/>
      <c r="BA323" s="3"/>
      <c r="BC323" s="20"/>
      <c r="BD323" s="3"/>
      <c r="BF323" s="20"/>
      <c r="BG323" s="3"/>
    </row>
    <row r="324" spans="5:59" ht="15">
      <c r="E324" s="1"/>
      <c r="AS324" s="20"/>
      <c r="AT324" s="3"/>
      <c r="AZ324" s="20"/>
      <c r="BA324" s="3"/>
      <c r="BC324" s="20"/>
      <c r="BD324" s="3"/>
      <c r="BF324" s="20"/>
      <c r="BG324" s="3"/>
    </row>
    <row r="325" spans="5:59" ht="15">
      <c r="E325" s="1"/>
      <c r="AS325" s="20"/>
      <c r="AT325" s="3"/>
      <c r="AZ325" s="20"/>
      <c r="BA325" s="3"/>
      <c r="BC325" s="20"/>
      <c r="BD325" s="3"/>
      <c r="BF325" s="20"/>
      <c r="BG325" s="3"/>
    </row>
    <row r="326" spans="5:59" ht="15">
      <c r="E326" s="1"/>
    </row>
    <row r="327" spans="5:59" ht="15">
      <c r="E327" s="1"/>
    </row>
    <row r="328" spans="5:59" ht="15">
      <c r="E328" s="1"/>
    </row>
    <row r="329" spans="5:59" ht="15">
      <c r="E329" s="1"/>
    </row>
    <row r="330" spans="5:59" ht="15">
      <c r="E330" s="1"/>
    </row>
    <row r="331" spans="5:59" ht="15">
      <c r="E331" s="1"/>
    </row>
    <row r="332" spans="5:59" ht="15">
      <c r="E332" s="1"/>
    </row>
    <row r="333" spans="5:59" ht="15">
      <c r="E333" s="1"/>
    </row>
    <row r="334" spans="5:59" ht="15">
      <c r="E334" s="1"/>
    </row>
    <row r="335" spans="5:59" ht="15">
      <c r="E335" s="1"/>
    </row>
    <row r="336" spans="5:59" ht="15">
      <c r="E336" s="1"/>
    </row>
    <row r="337" spans="5:5" ht="15">
      <c r="E337" s="1"/>
    </row>
    <row r="338" spans="5:5" ht="15">
      <c r="E338" s="1"/>
    </row>
    <row r="339" spans="5:5" ht="15">
      <c r="E339" s="1"/>
    </row>
    <row r="340" spans="5:5" ht="15">
      <c r="E340" s="1"/>
    </row>
    <row r="341" spans="5:5" ht="15">
      <c r="E341" s="1"/>
    </row>
    <row r="342" spans="5:5" ht="15">
      <c r="E342" s="1"/>
    </row>
    <row r="343" spans="5:5" ht="15">
      <c r="E343" s="1"/>
    </row>
    <row r="344" spans="5:5" ht="15">
      <c r="E344" s="1"/>
    </row>
    <row r="345" spans="5:5" ht="15">
      <c r="E345" s="1"/>
    </row>
    <row r="346" spans="5:5" ht="15">
      <c r="E346" s="1"/>
    </row>
    <row r="347" spans="5:5" ht="15">
      <c r="E347" s="1"/>
    </row>
    <row r="348" spans="5:5" ht="15">
      <c r="E348" s="1"/>
    </row>
    <row r="349" spans="5:5" ht="15">
      <c r="E349" s="1"/>
    </row>
    <row r="350" spans="5:5" ht="15">
      <c r="E350" s="1"/>
    </row>
    <row r="351" spans="5:5" ht="15">
      <c r="E351" s="1"/>
    </row>
    <row r="352" spans="5:5" ht="15">
      <c r="E352" s="1"/>
    </row>
    <row r="353" spans="5:5" ht="15">
      <c r="E353" s="1"/>
    </row>
    <row r="354" spans="5:5" ht="15">
      <c r="E354" s="1"/>
    </row>
    <row r="355" spans="5:5" ht="15">
      <c r="E355" s="1"/>
    </row>
    <row r="356" spans="5:5" ht="15">
      <c r="E356" s="1"/>
    </row>
    <row r="357" spans="5:5" ht="15">
      <c r="E357" s="1"/>
    </row>
    <row r="358" spans="5:5" ht="15">
      <c r="E358" s="1"/>
    </row>
    <row r="359" spans="5:5" ht="15">
      <c r="E359" s="1"/>
    </row>
    <row r="360" spans="5:5" ht="15">
      <c r="E360" s="1"/>
    </row>
    <row r="361" spans="5:5" ht="15">
      <c r="E361" s="1"/>
    </row>
    <row r="362" spans="5:5" ht="15">
      <c r="E362" s="1"/>
    </row>
    <row r="363" spans="5:5" ht="15">
      <c r="E363" s="1"/>
    </row>
    <row r="364" spans="5:5" ht="15">
      <c r="E364" s="1"/>
    </row>
    <row r="365" spans="5:5" ht="15">
      <c r="E365" s="1"/>
    </row>
    <row r="366" spans="5:5" ht="15">
      <c r="E366" s="1"/>
    </row>
    <row r="367" spans="5:5" ht="15">
      <c r="E367" s="1"/>
    </row>
    <row r="368" spans="5:5" ht="15">
      <c r="E368" s="1"/>
    </row>
  </sheetData>
  <autoFilter ref="A2:DB266" xr:uid="{00000000-0001-0000-0100-000000000000}">
    <filterColumn colId="14" showButton="0"/>
    <filterColumn colId="15" showButton="0"/>
    <filterColumn colId="16" showButton="0"/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  <filterColumn colId="24" showButton="0"/>
    <filterColumn colId="25" showButton="0"/>
    <filterColumn colId="26" showButton="0"/>
    <filterColumn colId="27" showButton="0"/>
    <filterColumn colId="29" showButton="0"/>
    <filterColumn colId="30" showButton="0"/>
    <filterColumn colId="31" showButton="0"/>
    <filterColumn colId="32" showButton="0"/>
    <filterColumn colId="33" showButton="0"/>
    <filterColumn colId="34" showButton="0"/>
    <filterColumn colId="35" showButton="0"/>
    <filterColumn colId="36" showButton="0"/>
    <filterColumn colId="37" showButton="0"/>
    <filterColumn colId="38" showButton="0"/>
    <filterColumn colId="39" showButton="0"/>
    <filterColumn colId="40" showButton="0"/>
    <filterColumn colId="41" showButton="0"/>
    <filterColumn colId="42" showButton="0"/>
    <filterColumn colId="43" showButton="0"/>
    <filterColumn colId="47">
      <filters>
        <filter val="Market"/>
      </filters>
    </filterColumn>
  </autoFilter>
  <mergeCells count="22">
    <mergeCell ref="BD3:BF3"/>
    <mergeCell ref="L3:N3"/>
    <mergeCell ref="O3:AS3"/>
    <mergeCell ref="AT3:AZ3"/>
    <mergeCell ref="BA3:BC3"/>
    <mergeCell ref="K2:K3"/>
    <mergeCell ref="A2:A3"/>
    <mergeCell ref="C2:C3"/>
    <mergeCell ref="D2:D3"/>
    <mergeCell ref="E2:E3"/>
    <mergeCell ref="F2:F3"/>
    <mergeCell ref="G2:G3"/>
    <mergeCell ref="H2:H3"/>
    <mergeCell ref="I2:I3"/>
    <mergeCell ref="J2:J3"/>
    <mergeCell ref="B2:B3"/>
    <mergeCell ref="S2:AC2"/>
    <mergeCell ref="AD2:AS2"/>
    <mergeCell ref="L1:L2"/>
    <mergeCell ref="M1:M2"/>
    <mergeCell ref="N1:N2"/>
    <mergeCell ref="O2:R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6084D-A3D2-4A4A-A4BF-F0E03D21B201}">
  <dimension ref="A1:J84"/>
  <sheetViews>
    <sheetView topLeftCell="G20" workbookViewId="0">
      <selection activeCell="I59" sqref="I59"/>
    </sheetView>
  </sheetViews>
  <sheetFormatPr defaultRowHeight="14.25"/>
  <cols>
    <col min="1" max="1" width="11.625" style="21" customWidth="1"/>
    <col min="2" max="2" width="41" customWidth="1"/>
    <col min="3" max="3" width="17.75" style="21" customWidth="1"/>
    <col min="4" max="4" width="19.125" style="21" customWidth="1"/>
    <col min="5" max="5" width="10.25" style="21" customWidth="1"/>
    <col min="6" max="6" width="5.75" customWidth="1"/>
    <col min="7" max="7" width="6" style="21" customWidth="1"/>
    <col min="8" max="8" width="51.875" customWidth="1"/>
    <col min="9" max="9" width="15.75" style="21" customWidth="1"/>
    <col min="10" max="10" width="11.75" style="21" customWidth="1"/>
  </cols>
  <sheetData>
    <row r="1" spans="1:10" ht="15">
      <c r="B1" s="24" t="s">
        <v>583</v>
      </c>
      <c r="C1" s="21">
        <v>262</v>
      </c>
      <c r="H1" s="67" t="s">
        <v>634</v>
      </c>
      <c r="I1" s="67"/>
      <c r="J1" s="67"/>
    </row>
    <row r="3" spans="1:10" ht="15">
      <c r="A3" s="25" t="s">
        <v>635</v>
      </c>
      <c r="B3" s="24" t="s">
        <v>43</v>
      </c>
      <c r="C3" s="25" t="s">
        <v>590</v>
      </c>
      <c r="D3" s="25" t="s">
        <v>589</v>
      </c>
      <c r="G3" s="25" t="s">
        <v>637</v>
      </c>
      <c r="H3" s="24" t="s">
        <v>43</v>
      </c>
      <c r="I3" s="25" t="s">
        <v>590</v>
      </c>
      <c r="J3" s="25" t="s">
        <v>589</v>
      </c>
    </row>
    <row r="4" spans="1:10">
      <c r="A4" s="27">
        <v>1</v>
      </c>
      <c r="B4" t="s">
        <v>636</v>
      </c>
      <c r="C4" s="21">
        <f>COUNTIF(Studies!L4:L265,"*customer as developer*")</f>
        <v>1</v>
      </c>
      <c r="D4" s="22">
        <f>C4/C$1</f>
        <v>3.8167938931297708E-3</v>
      </c>
      <c r="G4" s="27">
        <v>1</v>
      </c>
      <c r="H4" t="s">
        <v>636</v>
      </c>
      <c r="I4" s="21">
        <f>C4</f>
        <v>1</v>
      </c>
      <c r="J4" s="22">
        <f>I4/C$1</f>
        <v>3.8167938931297708E-3</v>
      </c>
    </row>
    <row r="5" spans="1:10">
      <c r="A5" s="29">
        <v>2</v>
      </c>
      <c r="B5" t="s">
        <v>259</v>
      </c>
      <c r="C5" s="21">
        <f>COUNTIF(Studies!L4:L265,"*Business modelling*")</f>
        <v>2</v>
      </c>
      <c r="D5" s="22">
        <f t="shared" ref="D5:D14" si="0">C5/C$1</f>
        <v>7.6335877862595417E-3</v>
      </c>
      <c r="G5" s="34">
        <v>2</v>
      </c>
      <c r="H5" t="s">
        <v>638</v>
      </c>
      <c r="I5" s="21">
        <f>C5+C14</f>
        <v>8</v>
      </c>
      <c r="J5" s="22">
        <f t="shared" ref="J5:J8" si="1">I5/C$1</f>
        <v>3.0534351145038167E-2</v>
      </c>
    </row>
    <row r="6" spans="1:10">
      <c r="A6" s="28">
        <v>3</v>
      </c>
      <c r="B6" t="s">
        <v>258</v>
      </c>
      <c r="C6" s="21">
        <f>COUNTIF(Studies!L4:L265,"*Communication with domain experts*")</f>
        <v>3</v>
      </c>
      <c r="D6" s="22">
        <f t="shared" si="0"/>
        <v>1.1450381679389313E-2</v>
      </c>
      <c r="G6" s="28">
        <v>3</v>
      </c>
      <c r="H6" t="s">
        <v>639</v>
      </c>
      <c r="I6" s="21">
        <f>C6+C8+C9</f>
        <v>5</v>
      </c>
      <c r="J6" s="22">
        <f t="shared" si="1"/>
        <v>1.9083969465648856E-2</v>
      </c>
    </row>
    <row r="7" spans="1:10">
      <c r="A7" s="30">
        <v>4</v>
      </c>
      <c r="B7" t="s">
        <v>254</v>
      </c>
      <c r="C7" s="21">
        <f>COUNTIF(Studies!L4:L265,"*Document mining*")</f>
        <v>24</v>
      </c>
      <c r="D7" s="22">
        <f t="shared" si="0"/>
        <v>9.1603053435114504E-2</v>
      </c>
      <c r="G7" s="30">
        <v>4</v>
      </c>
      <c r="H7" t="s">
        <v>682</v>
      </c>
      <c r="I7" s="21">
        <f>C7+C11+C13</f>
        <v>179</v>
      </c>
      <c r="J7" s="22">
        <f t="shared" si="1"/>
        <v>0.68320610687022898</v>
      </c>
    </row>
    <row r="8" spans="1:10">
      <c r="A8" s="28">
        <v>3</v>
      </c>
      <c r="B8" t="s">
        <v>261</v>
      </c>
      <c r="C8" s="21">
        <f>COUNTIF(Studies!L4:L265,"*Industry collaboration*")</f>
        <v>1</v>
      </c>
      <c r="D8" s="22">
        <f t="shared" si="0"/>
        <v>3.8167938931297708E-3</v>
      </c>
      <c r="G8" s="21">
        <v>5</v>
      </c>
      <c r="H8" t="s">
        <v>640</v>
      </c>
      <c r="I8" s="21">
        <f>C10+C12</f>
        <v>162</v>
      </c>
      <c r="J8" s="22">
        <f t="shared" si="1"/>
        <v>0.61832061068702293</v>
      </c>
    </row>
    <row r="9" spans="1:10">
      <c r="A9" s="28">
        <v>3</v>
      </c>
      <c r="B9" t="s">
        <v>584</v>
      </c>
      <c r="C9" s="21">
        <f>COUNTIF(Studies!L4:L265,"*Interviews*")</f>
        <v>1</v>
      </c>
      <c r="D9" s="22">
        <f t="shared" si="0"/>
        <v>3.8167938931297708E-3</v>
      </c>
    </row>
    <row r="10" spans="1:10">
      <c r="A10" s="21">
        <v>5</v>
      </c>
      <c r="B10" t="s">
        <v>586</v>
      </c>
      <c r="C10" s="21">
        <f>COUNTIF(Studies!L4:L265,"*Problem description*")</f>
        <v>90</v>
      </c>
      <c r="D10" s="22">
        <f t="shared" si="0"/>
        <v>0.34351145038167941</v>
      </c>
    </row>
    <row r="11" spans="1:10">
      <c r="A11" s="30">
        <v>4</v>
      </c>
      <c r="B11" t="s">
        <v>587</v>
      </c>
      <c r="C11" s="21">
        <f>COUNTIF(Studies!L4:L265,"*Prototype and examples*")</f>
        <v>85</v>
      </c>
      <c r="D11" s="22">
        <f t="shared" si="0"/>
        <v>0.32442748091603052</v>
      </c>
    </row>
    <row r="12" spans="1:10">
      <c r="A12" s="21">
        <v>5</v>
      </c>
      <c r="B12" t="s">
        <v>256</v>
      </c>
      <c r="C12" s="21">
        <f>COUNTIF(Studies!L4:L265,"*Problem statement*")</f>
        <v>72</v>
      </c>
      <c r="D12" s="22">
        <f t="shared" si="0"/>
        <v>0.27480916030534353</v>
      </c>
    </row>
    <row r="13" spans="1:10">
      <c r="A13" s="30">
        <v>4</v>
      </c>
      <c r="B13" t="s">
        <v>253</v>
      </c>
      <c r="C13" s="21">
        <f>COUNTIF(Studies!L4:L265,"*Research*")</f>
        <v>70</v>
      </c>
      <c r="D13" s="22">
        <f t="shared" si="0"/>
        <v>0.26717557251908397</v>
      </c>
    </row>
    <row r="14" spans="1:10">
      <c r="A14" s="29">
        <v>2</v>
      </c>
      <c r="B14" t="s">
        <v>588</v>
      </c>
      <c r="C14" s="21">
        <f>COUNTIF(Studies!L4:L265,"*business analysis*")</f>
        <v>6</v>
      </c>
      <c r="D14" s="22">
        <f t="shared" si="0"/>
        <v>2.2900763358778626E-2</v>
      </c>
    </row>
    <row r="19" spans="1:10" ht="15">
      <c r="A19" s="25" t="s">
        <v>635</v>
      </c>
      <c r="B19" s="24" t="s">
        <v>44</v>
      </c>
      <c r="C19" s="25" t="s">
        <v>590</v>
      </c>
      <c r="D19" s="25" t="s">
        <v>589</v>
      </c>
      <c r="G19" s="25" t="s">
        <v>637</v>
      </c>
      <c r="H19" s="24" t="s">
        <v>44</v>
      </c>
      <c r="I19" s="25" t="s">
        <v>590</v>
      </c>
      <c r="J19" s="25" t="s">
        <v>589</v>
      </c>
    </row>
    <row r="20" spans="1:10">
      <c r="A20" s="27">
        <v>1</v>
      </c>
      <c r="B20" t="s">
        <v>299</v>
      </c>
      <c r="C20" s="21">
        <f>COUNTIF(Studies!M4:M265,"*Activity diagram modellers*")</f>
        <v>1</v>
      </c>
      <c r="D20" s="22">
        <f>C20/C$1</f>
        <v>3.8167938931297708E-3</v>
      </c>
      <c r="G20" s="27">
        <v>1</v>
      </c>
      <c r="H20" t="s">
        <v>266</v>
      </c>
      <c r="I20" s="21">
        <f>C20+C23+C37+C48+C49+C57+C27+C35+C40</f>
        <v>195</v>
      </c>
      <c r="J20" s="22">
        <f>I20/C$1</f>
        <v>0.74427480916030531</v>
      </c>
    </row>
    <row r="21" spans="1:10">
      <c r="A21" s="34">
        <v>2</v>
      </c>
      <c r="B21" t="s">
        <v>275</v>
      </c>
      <c r="C21" s="21">
        <f>COUNTIF(Studies!M4:M265,"*Alloy Analyzer users*")</f>
        <v>1</v>
      </c>
      <c r="D21" s="22">
        <f t="shared" ref="D21:D63" si="2">C21/C$1</f>
        <v>3.8167938931297708E-3</v>
      </c>
      <c r="G21" s="34">
        <v>2</v>
      </c>
      <c r="H21" t="s">
        <v>644</v>
      </c>
      <c r="I21" s="21">
        <f>C21+C25+C28+C29+C33+C44+C53+C56+C62</f>
        <v>22</v>
      </c>
      <c r="J21" s="22">
        <f t="shared" ref="J21:J23" si="3">I21/C$1</f>
        <v>8.3969465648854963E-2</v>
      </c>
    </row>
    <row r="22" spans="1:10">
      <c r="A22" s="28">
        <v>3</v>
      </c>
      <c r="B22" t="s">
        <v>591</v>
      </c>
      <c r="C22" s="21">
        <f>COUNTIF(Studies!M4:M265,"*Automotive system*")</f>
        <v>1</v>
      </c>
      <c r="D22" s="22">
        <f t="shared" si="2"/>
        <v>3.8167938931297708E-3</v>
      </c>
      <c r="G22" s="28">
        <v>3</v>
      </c>
      <c r="H22" t="s">
        <v>643</v>
      </c>
      <c r="I22" s="21">
        <f>C22+C24+C26+C30+C34+C38+C39+C45+C46+C50+C51+C54+C55+C61</f>
        <v>28</v>
      </c>
      <c r="J22" s="22">
        <f t="shared" si="3"/>
        <v>0.10687022900763359</v>
      </c>
    </row>
    <row r="23" spans="1:10">
      <c r="A23" s="27">
        <v>1</v>
      </c>
      <c r="B23" t="s">
        <v>592</v>
      </c>
      <c r="C23" s="21">
        <f>COUNTIF(Studies!M4:M265,"*Business process modeling*")</f>
        <v>1</v>
      </c>
      <c r="D23" s="22">
        <f t="shared" si="2"/>
        <v>3.8167938931297708E-3</v>
      </c>
      <c r="G23" s="30">
        <v>4</v>
      </c>
      <c r="H23" t="s">
        <v>645</v>
      </c>
      <c r="I23" s="21">
        <f>C31+C32+C36+C41+C42+C43+C47+C52+C59+C60+C63+C58</f>
        <v>29</v>
      </c>
      <c r="J23" s="22">
        <f t="shared" si="3"/>
        <v>0.11068702290076336</v>
      </c>
    </row>
    <row r="24" spans="1:10">
      <c r="A24" s="28">
        <v>3</v>
      </c>
      <c r="B24" t="s">
        <v>279</v>
      </c>
      <c r="C24" s="21">
        <f>COUNTIF(Studies!M4:M265,"*C++ users (legacy code)*")</f>
        <v>1</v>
      </c>
      <c r="D24" s="22">
        <f t="shared" si="2"/>
        <v>3.8167938931297708E-3</v>
      </c>
      <c r="J24" s="22"/>
    </row>
    <row r="25" spans="1:10">
      <c r="A25" s="34">
        <v>2</v>
      </c>
      <c r="B25" t="s">
        <v>285</v>
      </c>
      <c r="C25" s="21">
        <f>COUNTIF(Studies!M4:M265,"*Control engineers*")</f>
        <v>2</v>
      </c>
      <c r="D25" s="22">
        <f t="shared" si="2"/>
        <v>7.6335877862595417E-3</v>
      </c>
    </row>
    <row r="26" spans="1:10">
      <c r="A26" s="28">
        <v>3</v>
      </c>
      <c r="B26" s="23" t="s">
        <v>593</v>
      </c>
      <c r="C26" s="21">
        <f>COUNTIF(Studies!M4:M265,"*Critical systems developers *")</f>
        <v>1</v>
      </c>
      <c r="D26" s="22">
        <f t="shared" si="2"/>
        <v>3.8167938931297708E-3</v>
      </c>
    </row>
    <row r="27" spans="1:10">
      <c r="A27" s="27">
        <v>1</v>
      </c>
      <c r="B27" t="s">
        <v>266</v>
      </c>
      <c r="C27" s="21">
        <f>COUNTIF(Studies!M4:M265,"*MDE practitioners*")</f>
        <v>185</v>
      </c>
      <c r="D27" s="22">
        <f t="shared" si="2"/>
        <v>0.70610687022900764</v>
      </c>
    </row>
    <row r="28" spans="1:10">
      <c r="A28" s="34">
        <v>2</v>
      </c>
      <c r="B28" t="s">
        <v>304</v>
      </c>
      <c r="C28" s="21">
        <f>COUNTIF(Studies!M4:M265,"*DES analysts*")</f>
        <v>1</v>
      </c>
      <c r="D28" s="22">
        <f t="shared" si="2"/>
        <v>3.8167938931297708E-3</v>
      </c>
    </row>
    <row r="29" spans="1:10">
      <c r="A29" s="34">
        <v>2</v>
      </c>
      <c r="B29" t="s">
        <v>309</v>
      </c>
      <c r="C29" s="21">
        <f>COUNTIF(Studies!M4:M265,"*Digital forensics experts*")</f>
        <v>1</v>
      </c>
      <c r="D29" s="22">
        <f t="shared" si="2"/>
        <v>3.8167938931297708E-3</v>
      </c>
    </row>
    <row r="30" spans="1:10">
      <c r="A30" s="28">
        <v>3</v>
      </c>
      <c r="B30" t="s">
        <v>295</v>
      </c>
      <c r="C30" s="21">
        <f>COUNTIF(Studies!M4:M265,"*Embedded sys. Developers*")</f>
        <v>2</v>
      </c>
      <c r="D30" s="22">
        <f t="shared" si="2"/>
        <v>7.6335877862595417E-3</v>
      </c>
    </row>
    <row r="31" spans="1:10">
      <c r="A31" s="30">
        <v>4</v>
      </c>
      <c r="B31" t="s">
        <v>594</v>
      </c>
      <c r="C31" s="21">
        <f>COUNTIF(Studies!M4:M265,"*End users of FrontArena software*")</f>
        <v>1</v>
      </c>
      <c r="D31" s="22">
        <f t="shared" si="2"/>
        <v>3.8167938931297708E-3</v>
      </c>
    </row>
    <row r="32" spans="1:10">
      <c r="A32" s="30">
        <v>4</v>
      </c>
      <c r="B32" t="s">
        <v>595</v>
      </c>
      <c r="C32" s="21">
        <f>COUNTIF(Studies!M4:M265,"*Financial companies*")</f>
        <v>11</v>
      </c>
      <c r="D32" s="22">
        <f t="shared" si="2"/>
        <v>4.1984732824427481E-2</v>
      </c>
    </row>
    <row r="33" spans="1:4">
      <c r="A33" s="34">
        <v>2</v>
      </c>
      <c r="B33" t="s">
        <v>596</v>
      </c>
      <c r="C33" s="21">
        <f>COUNTIF(Studies!M4:M265,"*case study proposers*")</f>
        <v>11</v>
      </c>
      <c r="D33" s="22">
        <f t="shared" si="2"/>
        <v>4.1984732824427481E-2</v>
      </c>
    </row>
    <row r="34" spans="1:4">
      <c r="A34" s="28">
        <v>3</v>
      </c>
      <c r="B34" t="s">
        <v>287</v>
      </c>
      <c r="C34" s="21">
        <f>COUNTIF(Studies!M4:M265,"*Game application developers*")</f>
        <v>1</v>
      </c>
      <c r="D34" s="22">
        <f t="shared" si="2"/>
        <v>3.8167938931297708E-3</v>
      </c>
    </row>
    <row r="35" spans="1:4">
      <c r="A35" s="27">
        <v>1</v>
      </c>
      <c r="B35" t="s">
        <v>276</v>
      </c>
      <c r="C35" s="21">
        <f>COUNTIF(Studies!M4:M265,"*Graph transformations users*")</f>
        <v>1</v>
      </c>
      <c r="D35" s="22">
        <f t="shared" si="2"/>
        <v>3.8167938931297708E-3</v>
      </c>
    </row>
    <row r="36" spans="1:4">
      <c r="A36" s="30">
        <v>4</v>
      </c>
      <c r="B36" t="s">
        <v>597</v>
      </c>
      <c r="C36" s="21">
        <f>COUNTIF(Studies!M4:M265,"*applications users*")</f>
        <v>1</v>
      </c>
      <c r="D36" s="22">
        <f t="shared" si="2"/>
        <v>3.8167938931297708E-3</v>
      </c>
    </row>
    <row r="37" spans="1:4">
      <c r="A37" s="27">
        <v>1</v>
      </c>
      <c r="B37" t="s">
        <v>280</v>
      </c>
      <c r="C37" s="21">
        <f>COUNTIF(Studies!M4:M265,"*Manufacturing system designers*")</f>
        <v>1</v>
      </c>
      <c r="D37" s="22">
        <f t="shared" si="2"/>
        <v>3.8167938931297708E-3</v>
      </c>
    </row>
    <row r="38" spans="1:4">
      <c r="A38" s="28">
        <v>3</v>
      </c>
      <c r="B38" t="s">
        <v>284</v>
      </c>
      <c r="C38" s="21">
        <f>COUNTIF(Studies!M4:M265,"*web application developers*")</f>
        <v>3</v>
      </c>
      <c r="D38" s="22">
        <f t="shared" si="2"/>
        <v>1.1450381679389313E-2</v>
      </c>
    </row>
    <row r="39" spans="1:4">
      <c r="A39" s="28">
        <v>3</v>
      </c>
      <c r="B39" t="s">
        <v>286</v>
      </c>
      <c r="C39" s="21">
        <f>COUNTIF(Studies!M4:M265,"*MT developers*")</f>
        <v>1</v>
      </c>
      <c r="D39" s="22">
        <f t="shared" si="2"/>
        <v>3.8167938931297708E-3</v>
      </c>
    </row>
    <row r="40" spans="1:4">
      <c r="A40" s="27">
        <v>1</v>
      </c>
      <c r="B40" t="s">
        <v>282</v>
      </c>
      <c r="C40" s="21">
        <f>COUNTIF(Studies!M4:M265,"*OCL users*")</f>
        <v>1</v>
      </c>
      <c r="D40" s="22">
        <f t="shared" si="2"/>
        <v>3.8167938931297708E-3</v>
      </c>
    </row>
    <row r="41" spans="1:4">
      <c r="A41" s="30">
        <v>4</v>
      </c>
      <c r="B41" t="s">
        <v>288</v>
      </c>
      <c r="C41" s="21">
        <f>COUNTIF(Studies!M4:M265,"*Process control practitioners*")</f>
        <v>1</v>
      </c>
      <c r="D41" s="22">
        <f t="shared" si="2"/>
        <v>3.8167938931297708E-3</v>
      </c>
    </row>
    <row r="42" spans="1:4">
      <c r="A42" s="30">
        <v>4</v>
      </c>
      <c r="B42" t="s">
        <v>300</v>
      </c>
      <c r="C42" s="21">
        <f>COUNTIF(Studies!M4:M265,"*Quantity surveyors*")</f>
        <v>1</v>
      </c>
      <c r="D42" s="22">
        <f t="shared" si="2"/>
        <v>3.8167938931297708E-3</v>
      </c>
    </row>
    <row r="43" spans="1:4">
      <c r="A43" s="30">
        <v>4</v>
      </c>
      <c r="B43" t="s">
        <v>293</v>
      </c>
      <c r="C43" s="21">
        <f>COUNTIF(Studies!M4:M265,"*Re-engineering projects*")</f>
        <v>1</v>
      </c>
      <c r="D43" s="22">
        <f t="shared" si="2"/>
        <v>3.8167938931297708E-3</v>
      </c>
    </row>
    <row r="44" spans="1:4">
      <c r="A44" s="34">
        <v>2</v>
      </c>
      <c r="B44" t="s">
        <v>274</v>
      </c>
      <c r="C44" s="21">
        <f>COUNTIF(Studies!M4:M265,"*Risk analysts*")</f>
        <v>1</v>
      </c>
      <c r="D44" s="22">
        <f t="shared" si="2"/>
        <v>3.8167938931297708E-3</v>
      </c>
    </row>
    <row r="45" spans="1:4">
      <c r="A45" s="28">
        <v>3</v>
      </c>
      <c r="B45" t="s">
        <v>570</v>
      </c>
      <c r="C45" s="21">
        <f>COUNTIF(Studies!M4:M265,"*Robatic Software Developers*")</f>
        <v>1</v>
      </c>
      <c r="D45" s="22">
        <f t="shared" si="2"/>
        <v>3.8167938931297708E-3</v>
      </c>
    </row>
    <row r="46" spans="1:4">
      <c r="A46" s="28">
        <v>3</v>
      </c>
      <c r="B46" t="s">
        <v>598</v>
      </c>
      <c r="C46" s="21">
        <f>COUNTIF(Studies!M4:M265,"*testers*")</f>
        <v>1</v>
      </c>
      <c r="D46" s="22">
        <f t="shared" si="2"/>
        <v>3.8167938931297708E-3</v>
      </c>
    </row>
    <row r="47" spans="1:4">
      <c r="A47" s="30">
        <v>4</v>
      </c>
      <c r="B47" t="s">
        <v>307</v>
      </c>
      <c r="C47" s="21">
        <f>COUNTIF(Studies!M4:M265,"*Satellite operators*")</f>
        <v>1</v>
      </c>
      <c r="D47" s="22">
        <f t="shared" si="2"/>
        <v>3.8167938931297708E-3</v>
      </c>
    </row>
    <row r="48" spans="1:4">
      <c r="A48" s="27">
        <v>1</v>
      </c>
      <c r="B48" t="s">
        <v>581</v>
      </c>
      <c r="C48" s="21">
        <f>COUNTIF(Studies!M4:M265,"*Security designers*")</f>
        <v>2</v>
      </c>
      <c r="D48" s="22">
        <f t="shared" si="2"/>
        <v>7.6335877862595417E-3</v>
      </c>
    </row>
    <row r="49" spans="1:4">
      <c r="A49" s="27">
        <v>1</v>
      </c>
      <c r="B49" t="s">
        <v>599</v>
      </c>
      <c r="C49" s="21">
        <f>COUNTIF(Studies!M4:M265,"*Software modellers*")</f>
        <v>2</v>
      </c>
      <c r="D49" s="22">
        <f t="shared" si="2"/>
        <v>7.6335877862595417E-3</v>
      </c>
    </row>
    <row r="50" spans="1:4">
      <c r="A50" s="28">
        <v>3</v>
      </c>
      <c r="B50" t="s">
        <v>298</v>
      </c>
      <c r="C50" s="21">
        <f>COUNTIF(Studies!M4:M265,"*Software developers*")</f>
        <v>11</v>
      </c>
      <c r="D50" s="22">
        <f t="shared" si="2"/>
        <v>4.1984732824427481E-2</v>
      </c>
    </row>
    <row r="51" spans="1:4">
      <c r="A51" s="28">
        <v>3</v>
      </c>
      <c r="B51" t="s">
        <v>312</v>
      </c>
      <c r="C51" s="21">
        <f>COUNTIF(Studies!M4:M265,"*SOA developers*")</f>
        <v>1</v>
      </c>
      <c r="D51" s="22">
        <f t="shared" si="2"/>
        <v>3.8167938931297708E-3</v>
      </c>
    </row>
    <row r="52" spans="1:4">
      <c r="A52" s="30">
        <v>4</v>
      </c>
      <c r="B52" t="s">
        <v>578</v>
      </c>
      <c r="C52" s="21">
        <f>COUNTIF(Studies!M4:M265,"*Simulink Users*")</f>
        <v>1</v>
      </c>
      <c r="D52" s="22">
        <f t="shared" si="2"/>
        <v>3.8167938931297708E-3</v>
      </c>
    </row>
    <row r="53" spans="1:4">
      <c r="A53" s="34">
        <v>2</v>
      </c>
      <c r="B53" t="s">
        <v>281</v>
      </c>
      <c r="C53" s="21">
        <f>COUNTIF(Studies!M4:M265,"*System migration engineers*")</f>
        <v>1</v>
      </c>
      <c r="D53" s="22">
        <f t="shared" si="2"/>
        <v>3.8167938931297708E-3</v>
      </c>
    </row>
    <row r="54" spans="1:4">
      <c r="A54" s="28">
        <v>3</v>
      </c>
      <c r="B54" t="s">
        <v>301</v>
      </c>
      <c r="C54" s="21">
        <f>COUNTIF(Studies!M4:M265,"*Surveillence sys. Developers*")</f>
        <v>1</v>
      </c>
      <c r="D54" s="22">
        <f t="shared" si="2"/>
        <v>3.8167938931297708E-3</v>
      </c>
    </row>
    <row r="55" spans="1:4">
      <c r="A55" s="28">
        <v>3</v>
      </c>
      <c r="B55" t="s">
        <v>303</v>
      </c>
      <c r="C55" s="21">
        <f>COUNTIF(Studies!M4:M265,"*UI developers*")</f>
        <v>2</v>
      </c>
      <c r="D55" s="22">
        <f t="shared" si="2"/>
        <v>7.6335877862595417E-3</v>
      </c>
    </row>
    <row r="56" spans="1:4">
      <c r="A56" s="34">
        <v>2</v>
      </c>
      <c r="B56" t="s">
        <v>569</v>
      </c>
      <c r="C56" s="21">
        <f>COUNTIF(Studies!M4:M265,"*Test designers*")</f>
        <v>3</v>
      </c>
      <c r="D56" s="22">
        <f t="shared" si="2"/>
        <v>1.1450381679389313E-2</v>
      </c>
    </row>
    <row r="57" spans="1:4">
      <c r="A57" s="27">
        <v>1</v>
      </c>
      <c r="B57" t="s">
        <v>278</v>
      </c>
      <c r="C57" s="21">
        <f>COUNTIF(Studies!M4:M265,"*Use case model users*")</f>
        <v>1</v>
      </c>
      <c r="D57" s="22">
        <f t="shared" si="2"/>
        <v>3.8167938931297708E-3</v>
      </c>
    </row>
    <row r="58" spans="1:4">
      <c r="A58" s="30">
        <v>2</v>
      </c>
      <c r="B58" t="s">
        <v>600</v>
      </c>
      <c r="C58" s="21">
        <f>COUNTIF(Studies!M4:M265,"*Users requiring
analysis of data*")</f>
        <v>8</v>
      </c>
      <c r="D58" s="22">
        <f t="shared" si="2"/>
        <v>3.0534351145038167E-2</v>
      </c>
    </row>
    <row r="59" spans="1:4">
      <c r="A59" s="30">
        <v>4</v>
      </c>
      <c r="B59" t="s">
        <v>283</v>
      </c>
      <c r="C59" s="21">
        <f>COUNTIF(Studies!M4:M265,"*Volvo Cars Group*")</f>
        <v>1</v>
      </c>
      <c r="D59" s="22">
        <f t="shared" si="2"/>
        <v>3.8167938931297708E-3</v>
      </c>
    </row>
    <row r="60" spans="1:4">
      <c r="A60" s="30">
        <v>4</v>
      </c>
      <c r="B60" t="s">
        <v>292</v>
      </c>
      <c r="C60" s="21">
        <f>COUNTIF(Studies!M4:M265,"*Users exchanging web rules*")</f>
        <v>1</v>
      </c>
      <c r="D60" s="22">
        <f t="shared" si="2"/>
        <v>3.8167938931297708E-3</v>
      </c>
    </row>
    <row r="61" spans="1:4">
      <c r="A61" s="28">
        <v>3</v>
      </c>
      <c r="B61" t="s">
        <v>297</v>
      </c>
      <c r="C61" s="21">
        <f>COUNTIF(Studies!M4:M265,"*WSN developers*")</f>
        <v>1</v>
      </c>
      <c r="D61" s="22">
        <f t="shared" si="2"/>
        <v>3.8167938931297708E-3</v>
      </c>
    </row>
    <row r="62" spans="1:4">
      <c r="A62" s="34">
        <v>2</v>
      </c>
      <c r="B62" t="s">
        <v>306</v>
      </c>
      <c r="C62" s="21">
        <f>COUNTIF(Studies!M4:M265,"*Workflow analysts*")</f>
        <v>1</v>
      </c>
      <c r="D62" s="22">
        <f t="shared" si="2"/>
        <v>3.8167938931297708E-3</v>
      </c>
    </row>
    <row r="63" spans="1:4">
      <c r="A63" s="30">
        <v>4</v>
      </c>
      <c r="B63" t="s">
        <v>568</v>
      </c>
      <c r="C63" s="21">
        <f>COUNTIF(Studies!M4:M265,"*Vidual Contract Users*")</f>
        <v>1</v>
      </c>
      <c r="D63" s="22">
        <f t="shared" si="2"/>
        <v>3.8167938931297708E-3</v>
      </c>
    </row>
    <row r="71" spans="1:10" ht="15">
      <c r="A71" s="25" t="s">
        <v>635</v>
      </c>
      <c r="B71" s="24" t="s">
        <v>45</v>
      </c>
      <c r="C71" s="25" t="s">
        <v>590</v>
      </c>
      <c r="D71" s="25" t="s">
        <v>589</v>
      </c>
      <c r="G71" s="25" t="s">
        <v>637</v>
      </c>
      <c r="H71" s="24" t="s">
        <v>45</v>
      </c>
      <c r="I71" s="25" t="s">
        <v>590</v>
      </c>
      <c r="J71" s="25" t="s">
        <v>589</v>
      </c>
    </row>
    <row r="72" spans="1:10">
      <c r="A72" s="27">
        <v>1</v>
      </c>
      <c r="B72" t="s">
        <v>567</v>
      </c>
      <c r="C72" s="21">
        <f>COUNTIF(Studies!N4:N265,"*Cloud platform provider*")</f>
        <v>1</v>
      </c>
      <c r="D72" s="22">
        <f t="shared" ref="D72:D84" si="4">C72/C$1</f>
        <v>3.8167938931297708E-3</v>
      </c>
      <c r="G72" s="27">
        <v>1</v>
      </c>
      <c r="H72" t="s">
        <v>658</v>
      </c>
      <c r="I72" s="21">
        <f>C72+C74+C80</f>
        <v>117</v>
      </c>
      <c r="J72" s="22">
        <f>I72/C$1</f>
        <v>0.44656488549618323</v>
      </c>
    </row>
    <row r="73" spans="1:10">
      <c r="A73" s="34">
        <v>2</v>
      </c>
      <c r="B73" t="s">
        <v>302</v>
      </c>
      <c r="C73" s="21">
        <f>COUNTIF(Studies!N4:N265,"*Collaboration with practitioners*")</f>
        <v>2</v>
      </c>
      <c r="D73" s="22">
        <f t="shared" si="4"/>
        <v>7.6335877862595417E-3</v>
      </c>
      <c r="G73" s="34">
        <v>2</v>
      </c>
      <c r="H73" t="s">
        <v>647</v>
      </c>
      <c r="I73" s="21">
        <f>C73+C76+C78+C81+C82</f>
        <v>24</v>
      </c>
      <c r="J73" s="22">
        <f t="shared" ref="J73:J75" si="5">I73/C$1</f>
        <v>9.1603053435114504E-2</v>
      </c>
    </row>
    <row r="74" spans="1:10">
      <c r="A74" s="27">
        <v>1</v>
      </c>
      <c r="B74" t="s">
        <v>602</v>
      </c>
      <c r="C74" s="21">
        <f>COUNTIF(Studies!N4:N265,"*Constant feedback*")</f>
        <v>1</v>
      </c>
      <c r="D74" s="22">
        <f t="shared" si="4"/>
        <v>3.8167938931297708E-3</v>
      </c>
      <c r="G74" s="28">
        <v>3</v>
      </c>
      <c r="H74" t="s">
        <v>571</v>
      </c>
      <c r="I74" s="21">
        <f>C75+C79+C83+C77</f>
        <v>18</v>
      </c>
      <c r="J74" s="22">
        <f t="shared" si="5"/>
        <v>6.8702290076335881E-2</v>
      </c>
    </row>
    <row r="75" spans="1:10">
      <c r="A75" s="28">
        <v>3</v>
      </c>
      <c r="B75" t="s">
        <v>571</v>
      </c>
      <c r="C75" s="21">
        <f>COUNTIF(Studies!N4:N265,"*Participation in development*")</f>
        <v>11</v>
      </c>
      <c r="D75" s="22">
        <f t="shared" si="4"/>
        <v>4.1984732824427481E-2</v>
      </c>
      <c r="G75" s="30">
        <v>4</v>
      </c>
      <c r="H75" t="s">
        <v>268</v>
      </c>
      <c r="I75" s="21">
        <f>C84</f>
        <v>105</v>
      </c>
      <c r="J75" s="22">
        <f t="shared" si="5"/>
        <v>0.40076335877862596</v>
      </c>
    </row>
    <row r="76" spans="1:10">
      <c r="A76" s="34">
        <v>2</v>
      </c>
      <c r="B76" t="s">
        <v>603</v>
      </c>
      <c r="C76" s="21">
        <f>COUNTIF(Studies!N4:N265,"*Consultation*")</f>
        <v>4</v>
      </c>
      <c r="D76" s="22">
        <f t="shared" si="4"/>
        <v>1.5267175572519083E-2</v>
      </c>
    </row>
    <row r="77" spans="1:10">
      <c r="A77" s="28">
        <v>3</v>
      </c>
      <c r="B77" t="s">
        <v>648</v>
      </c>
      <c r="C77" s="21">
        <f>COUNTIF(Studies!N4:N265,"*demonstrations*")</f>
        <v>1</v>
      </c>
      <c r="D77" s="22">
        <f t="shared" si="4"/>
        <v>3.8167938931297708E-3</v>
      </c>
    </row>
    <row r="78" spans="1:10">
      <c r="A78" s="34">
        <v>2</v>
      </c>
      <c r="B78" t="s">
        <v>289</v>
      </c>
      <c r="C78" s="21">
        <f>COUNTIF(Studies!N4:N265,"*Discussions with experts*")</f>
        <v>4</v>
      </c>
      <c r="D78" s="22">
        <f t="shared" si="4"/>
        <v>1.5267175572519083E-2</v>
      </c>
    </row>
    <row r="79" spans="1:10">
      <c r="A79" s="28">
        <v>3</v>
      </c>
      <c r="B79" t="s">
        <v>296</v>
      </c>
      <c r="C79" s="21">
        <f>COUNTIF(Studies!N4:N265,"*Experiments with practitioners*")</f>
        <v>5</v>
      </c>
      <c r="D79" s="22">
        <f t="shared" si="4"/>
        <v>1.9083969465648856E-2</v>
      </c>
    </row>
    <row r="80" spans="1:10">
      <c r="A80" s="27">
        <v>1</v>
      </c>
      <c r="B80" t="s">
        <v>263</v>
      </c>
      <c r="C80" s="21">
        <f>COUNTIF(Studies!N4:N265,"*Forum, email*")</f>
        <v>115</v>
      </c>
      <c r="D80" s="22">
        <f t="shared" si="4"/>
        <v>0.43893129770992367</v>
      </c>
    </row>
    <row r="81" spans="1:4">
      <c r="A81" s="34">
        <v>2</v>
      </c>
      <c r="B81" t="s">
        <v>308</v>
      </c>
      <c r="C81" s="21">
        <f>COUNTIF(Studies!N4:N265,"*Industrial collaboration*")</f>
        <v>13</v>
      </c>
      <c r="D81" s="22">
        <f t="shared" si="4"/>
        <v>4.9618320610687022E-2</v>
      </c>
    </row>
    <row r="82" spans="1:4">
      <c r="A82" s="34">
        <v>2</v>
      </c>
      <c r="B82" t="s">
        <v>310</v>
      </c>
      <c r="C82" s="21">
        <f>COUNTIF(Studies!N4:N265,"*User collaboration*")</f>
        <v>1</v>
      </c>
      <c r="D82" s="22">
        <f t="shared" si="4"/>
        <v>3.8167938931297708E-3</v>
      </c>
    </row>
    <row r="83" spans="1:4">
      <c r="A83" s="28">
        <v>3</v>
      </c>
      <c r="B83" t="s">
        <v>294</v>
      </c>
      <c r="C83" s="21">
        <f>COUNTIF(Studies!N4:N265,"*Via consortium with industrial users*")</f>
        <v>1</v>
      </c>
      <c r="D83" s="22">
        <f t="shared" si="4"/>
        <v>3.8167938931297708E-3</v>
      </c>
    </row>
    <row r="84" spans="1:4">
      <c r="A84" s="30">
        <v>4</v>
      </c>
      <c r="B84" t="s">
        <v>268</v>
      </c>
      <c r="C84" s="21">
        <f>COUNTIF(Studies!N4:N265,"*None*")</f>
        <v>105</v>
      </c>
      <c r="D84" s="22">
        <f t="shared" si="4"/>
        <v>0.40076335877862596</v>
      </c>
    </row>
  </sheetData>
  <mergeCells count="1">
    <mergeCell ref="H1:J1"/>
  </mergeCells>
  <pageMargins left="0.7" right="0.7" top="0.75" bottom="0.75" header="0.3" footer="0.3"/>
  <pageSetup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C8434-E0CC-42A0-9ACA-19CE2757C133}">
  <dimension ref="A1:E58"/>
  <sheetViews>
    <sheetView workbookViewId="0">
      <selection activeCell="C29" sqref="C29"/>
    </sheetView>
  </sheetViews>
  <sheetFormatPr defaultRowHeight="14.25"/>
  <cols>
    <col min="1" max="1" width="38" customWidth="1"/>
    <col min="2" max="2" width="18.75" customWidth="1"/>
    <col min="3" max="3" width="21.875" customWidth="1"/>
  </cols>
  <sheetData>
    <row r="1" spans="1:5" ht="15">
      <c r="A1" s="24" t="s">
        <v>583</v>
      </c>
      <c r="B1" s="21">
        <v>262</v>
      </c>
      <c r="C1" s="21"/>
    </row>
    <row r="3" spans="1:5" ht="15">
      <c r="A3" s="24" t="s">
        <v>315</v>
      </c>
      <c r="B3" s="25" t="s">
        <v>590</v>
      </c>
      <c r="C3" s="25" t="s">
        <v>589</v>
      </c>
    </row>
    <row r="4" spans="1:5">
      <c r="A4" t="s">
        <v>313</v>
      </c>
      <c r="B4" s="21">
        <f>COUNTIF(Studies!O4:O265,"*Yes*")</f>
        <v>103</v>
      </c>
      <c r="C4" s="22">
        <f>B4/B$1</f>
        <v>0.3931297709923664</v>
      </c>
      <c r="D4" s="21"/>
      <c r="E4" s="21"/>
    </row>
    <row r="5" spans="1:5">
      <c r="A5" t="s">
        <v>314</v>
      </c>
      <c r="B5" s="21">
        <f>COUNTIF(Studies!P4:P265,"*Yes*")</f>
        <v>40</v>
      </c>
      <c r="C5" s="22">
        <f t="shared" ref="C5:C8" si="0">B5/B$1</f>
        <v>0.15267175572519084</v>
      </c>
    </row>
    <row r="6" spans="1:5">
      <c r="A6" t="s">
        <v>316</v>
      </c>
      <c r="B6" s="21">
        <f>COUNTIF(Studies!Q4:Q265,"*Yes*")</f>
        <v>23</v>
      </c>
      <c r="C6" s="22">
        <f t="shared" si="0"/>
        <v>8.7786259541984726E-2</v>
      </c>
    </row>
    <row r="7" spans="1:5">
      <c r="A7" t="s">
        <v>317</v>
      </c>
      <c r="B7" s="21">
        <f>COUNTIF(Studies!R4:R265,"*Yes*")</f>
        <v>23</v>
      </c>
      <c r="C7" s="22">
        <f t="shared" si="0"/>
        <v>8.7786259541984726E-2</v>
      </c>
    </row>
    <row r="8" spans="1:5">
      <c r="A8" t="s">
        <v>268</v>
      </c>
      <c r="B8" s="21">
        <f>B1-SUM(B4:B7)</f>
        <v>73</v>
      </c>
      <c r="C8" s="22">
        <f t="shared" si="0"/>
        <v>0.2786259541984733</v>
      </c>
    </row>
    <row r="9" spans="1:5">
      <c r="B9" s="21"/>
      <c r="C9" s="21"/>
    </row>
    <row r="10" spans="1:5">
      <c r="B10" s="21"/>
      <c r="C10" s="21"/>
    </row>
    <row r="11" spans="1:5">
      <c r="B11" s="21"/>
      <c r="C11" s="21"/>
    </row>
    <row r="12" spans="1:5">
      <c r="B12" s="21"/>
      <c r="C12" s="21"/>
    </row>
    <row r="13" spans="1:5">
      <c r="B13" s="21"/>
      <c r="C13" s="21"/>
    </row>
    <row r="14" spans="1:5">
      <c r="B14" s="21"/>
      <c r="C14" s="21"/>
    </row>
    <row r="15" spans="1:5">
      <c r="B15" s="21"/>
      <c r="C15" s="21"/>
    </row>
    <row r="16" spans="1:5">
      <c r="B16" s="21"/>
      <c r="C16" s="21"/>
    </row>
    <row r="18" spans="1:3" ht="15">
      <c r="A18" s="24" t="s">
        <v>329</v>
      </c>
      <c r="B18" s="25" t="s">
        <v>590</v>
      </c>
      <c r="C18" s="25" t="s">
        <v>589</v>
      </c>
    </row>
    <row r="19" spans="1:3">
      <c r="A19" t="s">
        <v>318</v>
      </c>
      <c r="B19" s="21">
        <f>COUNTIF(Studies!S4:S265,"*Yes*")</f>
        <v>67</v>
      </c>
      <c r="C19" s="22">
        <f t="shared" ref="C19:C29" si="1">B19/B$1</f>
        <v>0.25572519083969464</v>
      </c>
    </row>
    <row r="20" spans="1:3">
      <c r="A20" t="s">
        <v>319</v>
      </c>
      <c r="B20" s="21">
        <f>COUNTIF(Studies!T4:T265,"*Yes*")</f>
        <v>48</v>
      </c>
      <c r="C20" s="22">
        <f t="shared" si="1"/>
        <v>0.18320610687022901</v>
      </c>
    </row>
    <row r="21" spans="1:3">
      <c r="A21" t="s">
        <v>320</v>
      </c>
      <c r="B21" s="21">
        <f>COUNTIF(Studies!U4:U265,"*Yes*")</f>
        <v>75</v>
      </c>
      <c r="C21" s="22">
        <f t="shared" si="1"/>
        <v>0.2862595419847328</v>
      </c>
    </row>
    <row r="22" spans="1:3">
      <c r="A22" t="s">
        <v>321</v>
      </c>
      <c r="B22" s="21">
        <f>COUNTIF(Studies!V4:V265,"*Yes*")</f>
        <v>33</v>
      </c>
      <c r="C22" s="22">
        <f t="shared" si="1"/>
        <v>0.12595419847328243</v>
      </c>
    </row>
    <row r="23" spans="1:3">
      <c r="A23" t="s">
        <v>322</v>
      </c>
      <c r="B23" s="21">
        <f>COUNTIF(Studies!W4:W265,"*Yes*")</f>
        <v>9</v>
      </c>
      <c r="C23" s="22">
        <f t="shared" si="1"/>
        <v>3.4351145038167941E-2</v>
      </c>
    </row>
    <row r="24" spans="1:3">
      <c r="A24" t="s">
        <v>323</v>
      </c>
      <c r="B24" s="21">
        <f>COUNTIF(Studies!X4:X265,"*Yes*")</f>
        <v>22</v>
      </c>
      <c r="C24" s="22">
        <f t="shared" si="1"/>
        <v>8.3969465648854963E-2</v>
      </c>
    </row>
    <row r="25" spans="1:3">
      <c r="A25" t="s">
        <v>324</v>
      </c>
      <c r="B25" s="21">
        <f>COUNTIF(Studies!Y4:Y265,"*Yes*")</f>
        <v>28</v>
      </c>
      <c r="C25" s="22">
        <f t="shared" si="1"/>
        <v>0.10687022900763359</v>
      </c>
    </row>
    <row r="26" spans="1:3">
      <c r="A26" t="s">
        <v>325</v>
      </c>
      <c r="B26" s="21">
        <f>COUNTIF(Studies!Z4:Z265,"*Yes*")</f>
        <v>23</v>
      </c>
      <c r="C26" s="22">
        <f t="shared" si="1"/>
        <v>8.7786259541984726E-2</v>
      </c>
    </row>
    <row r="27" spans="1:3">
      <c r="A27" t="s">
        <v>326</v>
      </c>
      <c r="B27" s="21">
        <f>COUNTIF(Studies!AA4:AA265,"*Yes*")</f>
        <v>5</v>
      </c>
      <c r="C27" s="22">
        <f t="shared" si="1"/>
        <v>1.9083969465648856E-2</v>
      </c>
    </row>
    <row r="28" spans="1:3">
      <c r="A28" t="s">
        <v>327</v>
      </c>
      <c r="B28" s="21">
        <f>COUNTIF(Studies!AB4:AB265,"*Yes*")</f>
        <v>28</v>
      </c>
      <c r="C28" s="22">
        <f t="shared" si="1"/>
        <v>0.10687022900763359</v>
      </c>
    </row>
    <row r="29" spans="1:3">
      <c r="A29" t="s">
        <v>328</v>
      </c>
      <c r="B29" s="21">
        <f>COUNTIF(Studies!AC4:AC265,"*Yes*")</f>
        <v>9</v>
      </c>
      <c r="C29" s="22">
        <f t="shared" si="1"/>
        <v>3.4351145038167941E-2</v>
      </c>
    </row>
    <row r="30" spans="1:3">
      <c r="B30" s="21"/>
      <c r="C30" s="21"/>
    </row>
    <row r="31" spans="1:3">
      <c r="B31" s="21"/>
      <c r="C31" s="21"/>
    </row>
    <row r="32" spans="1:3">
      <c r="B32" s="21"/>
      <c r="C32" s="21"/>
    </row>
    <row r="33" spans="1:3">
      <c r="B33" s="21"/>
      <c r="C33" s="21"/>
    </row>
    <row r="34" spans="1:3">
      <c r="B34" s="21"/>
      <c r="C34" s="21"/>
    </row>
    <row r="35" spans="1:3">
      <c r="B35" s="21"/>
      <c r="C35" s="21"/>
    </row>
    <row r="36" spans="1:3">
      <c r="B36" s="21"/>
      <c r="C36" s="21"/>
    </row>
    <row r="37" spans="1:3">
      <c r="B37" s="21"/>
      <c r="C37" s="21"/>
    </row>
    <row r="38" spans="1:3">
      <c r="B38" s="21"/>
      <c r="C38" s="21"/>
    </row>
    <row r="39" spans="1:3" ht="15">
      <c r="A39" s="24" t="s">
        <v>345</v>
      </c>
      <c r="B39" s="25" t="s">
        <v>590</v>
      </c>
      <c r="C39" s="25" t="s">
        <v>589</v>
      </c>
    </row>
    <row r="40" spans="1:3">
      <c r="A40" t="s">
        <v>330</v>
      </c>
      <c r="B40" s="21">
        <f>COUNTIF(Studies!AD4:AD265,"*Yes*")</f>
        <v>90</v>
      </c>
      <c r="C40" s="22">
        <f t="shared" ref="C40:C55" si="2">B40/B$1</f>
        <v>0.34351145038167941</v>
      </c>
    </row>
    <row r="41" spans="1:3">
      <c r="A41" t="s">
        <v>332</v>
      </c>
      <c r="B41" s="21">
        <f>COUNTIF(Studies!AE4:AE265,"*Yes*")</f>
        <v>19</v>
      </c>
      <c r="C41" s="22">
        <f t="shared" si="2"/>
        <v>7.2519083969465645E-2</v>
      </c>
    </row>
    <row r="42" spans="1:3">
      <c r="A42" t="s">
        <v>331</v>
      </c>
      <c r="B42" s="21">
        <f>COUNTIF(Studies!AF4:AF265,"*Yes*")</f>
        <v>12</v>
      </c>
      <c r="C42" s="22">
        <f t="shared" si="2"/>
        <v>4.5801526717557252E-2</v>
      </c>
    </row>
    <row r="43" spans="1:3">
      <c r="A43" t="s">
        <v>333</v>
      </c>
      <c r="B43" s="21">
        <f>COUNTIF(Studies!AG4:AG265,"*Yes*")</f>
        <v>18</v>
      </c>
      <c r="C43" s="22">
        <f t="shared" si="2"/>
        <v>6.8702290076335881E-2</v>
      </c>
    </row>
    <row r="44" spans="1:3">
      <c r="A44" t="s">
        <v>604</v>
      </c>
      <c r="B44" s="21">
        <f>COUNTIF(Studies!AH4:AH265,"*Yes*")</f>
        <v>29</v>
      </c>
      <c r="C44" s="22">
        <f t="shared" si="2"/>
        <v>0.11068702290076336</v>
      </c>
    </row>
    <row r="45" spans="1:3">
      <c r="A45" t="s">
        <v>15</v>
      </c>
      <c r="B45" s="21">
        <f>COUNTIF(Studies!AI4:AI265,"*Yes*")</f>
        <v>27</v>
      </c>
      <c r="C45" s="22">
        <f t="shared" si="2"/>
        <v>0.10305343511450382</v>
      </c>
    </row>
    <row r="46" spans="1:3">
      <c r="A46" t="s">
        <v>335</v>
      </c>
      <c r="B46" s="21">
        <f>COUNTIF(Studies!AJ4:AJ265,"*Yes*")</f>
        <v>13</v>
      </c>
      <c r="C46" s="22">
        <f t="shared" si="2"/>
        <v>4.9618320610687022E-2</v>
      </c>
    </row>
    <row r="47" spans="1:3">
      <c r="A47" t="s">
        <v>336</v>
      </c>
      <c r="B47" s="21">
        <f>COUNTIF(Studies!AK4:AK265,"*Yes*")</f>
        <v>14</v>
      </c>
      <c r="C47" s="22">
        <f t="shared" si="2"/>
        <v>5.3435114503816793E-2</v>
      </c>
    </row>
    <row r="48" spans="1:3">
      <c r="A48" t="s">
        <v>337</v>
      </c>
      <c r="B48" s="21">
        <f>COUNTIF(Studies!AL4:AL265,"*Yes*")</f>
        <v>20</v>
      </c>
      <c r="C48" s="22">
        <f t="shared" si="2"/>
        <v>7.6335877862595422E-2</v>
      </c>
    </row>
    <row r="49" spans="1:3">
      <c r="A49" t="s">
        <v>338</v>
      </c>
      <c r="B49" s="21">
        <f>COUNTIF(Studies!AM4:AM265,"*Yes*")</f>
        <v>12</v>
      </c>
      <c r="C49" s="22">
        <f t="shared" si="2"/>
        <v>4.5801526717557252E-2</v>
      </c>
    </row>
    <row r="50" spans="1:3">
      <c r="A50" t="s">
        <v>339</v>
      </c>
      <c r="B50" s="21">
        <f>COUNTIF(Studies!AN4:AN265,"*Yes*")</f>
        <v>26</v>
      </c>
      <c r="C50" s="22">
        <f t="shared" si="2"/>
        <v>9.9236641221374045E-2</v>
      </c>
    </row>
    <row r="51" spans="1:3">
      <c r="A51" t="s">
        <v>340</v>
      </c>
      <c r="B51" s="21">
        <f>COUNTIF(Studies!AO4:AO265,"*Yes*")</f>
        <v>2</v>
      </c>
      <c r="C51" s="22">
        <f t="shared" si="2"/>
        <v>7.6335877862595417E-3</v>
      </c>
    </row>
    <row r="52" spans="1:3">
      <c r="A52" t="s">
        <v>341</v>
      </c>
      <c r="B52" s="21">
        <f>COUNTIF(Studies!AP4:AP265,"*Yes*")</f>
        <v>15</v>
      </c>
      <c r="C52" s="22">
        <f t="shared" si="2"/>
        <v>5.7251908396946563E-2</v>
      </c>
    </row>
    <row r="53" spans="1:3">
      <c r="A53" t="s">
        <v>342</v>
      </c>
      <c r="B53" s="21">
        <f>COUNTIF(Studies!AQ4:AQ265,"*Yes*")</f>
        <v>13</v>
      </c>
      <c r="C53" s="22">
        <f t="shared" si="2"/>
        <v>4.9618320610687022E-2</v>
      </c>
    </row>
    <row r="54" spans="1:3">
      <c r="A54" t="s">
        <v>343</v>
      </c>
      <c r="B54" s="21">
        <f>COUNTIF(Studies!AR4:AR265,"*Yes*")</f>
        <v>9</v>
      </c>
      <c r="C54" s="22">
        <f t="shared" si="2"/>
        <v>3.4351145038167941E-2</v>
      </c>
    </row>
    <row r="55" spans="1:3">
      <c r="A55" t="s">
        <v>344</v>
      </c>
      <c r="B55" s="21">
        <f>COUNTIF(Studies!AS4:AS265,"*Yes*")</f>
        <v>7</v>
      </c>
      <c r="C55" s="22">
        <f t="shared" si="2"/>
        <v>2.6717557251908396E-2</v>
      </c>
    </row>
    <row r="56" spans="1:3">
      <c r="B56" s="21"/>
      <c r="C56" s="21"/>
    </row>
    <row r="57" spans="1:3">
      <c r="B57" s="21"/>
      <c r="C57" s="21"/>
    </row>
    <row r="58" spans="1:3">
      <c r="B58" s="21"/>
      <c r="C58" s="2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071FF-76AE-4EEF-9003-1D519DB61626}">
  <dimension ref="A1:C71"/>
  <sheetViews>
    <sheetView tabSelected="1" topLeftCell="A36" workbookViewId="0">
      <selection activeCell="C47" sqref="C47"/>
    </sheetView>
  </sheetViews>
  <sheetFormatPr defaultRowHeight="14.25"/>
  <cols>
    <col min="1" max="1" width="36.75" customWidth="1"/>
    <col min="2" max="2" width="19.375" style="21" customWidth="1"/>
    <col min="3" max="3" width="20.75" style="21" customWidth="1"/>
  </cols>
  <sheetData>
    <row r="1" spans="1:3" ht="15">
      <c r="A1" s="24" t="s">
        <v>583</v>
      </c>
      <c r="B1" s="21">
        <v>262</v>
      </c>
    </row>
    <row r="3" spans="1:3" ht="15">
      <c r="A3" s="24" t="s">
        <v>47</v>
      </c>
      <c r="B3" s="25" t="s">
        <v>590</v>
      </c>
      <c r="C3" s="25" t="s">
        <v>589</v>
      </c>
    </row>
    <row r="4" spans="1:3">
      <c r="A4" t="s">
        <v>363</v>
      </c>
      <c r="B4" s="21">
        <f>COUNTIF(Studies!AT4:AT265,"*Abstraction*")</f>
        <v>10</v>
      </c>
      <c r="C4" s="22">
        <f>B4/B$1</f>
        <v>3.8167938931297711E-2</v>
      </c>
    </row>
    <row r="5" spans="1:3">
      <c r="A5" t="s">
        <v>359</v>
      </c>
      <c r="B5" s="21">
        <f>COUNTIF(Studies!AT4:AT265,"*code generation*")</f>
        <v>48</v>
      </c>
      <c r="C5" s="22">
        <f t="shared" ref="C5:C15" si="0">B5/B$1</f>
        <v>0.18320610687022901</v>
      </c>
    </row>
    <row r="6" spans="1:3">
      <c r="A6" t="s">
        <v>349</v>
      </c>
      <c r="B6" s="21">
        <f>COUNTIF(Studies!AT4:AT265,"*Bidirectional*")</f>
        <v>16</v>
      </c>
      <c r="C6" s="22">
        <f t="shared" si="0"/>
        <v>6.1068702290076333E-2</v>
      </c>
    </row>
    <row r="7" spans="1:3">
      <c r="A7" t="s">
        <v>362</v>
      </c>
      <c r="B7" s="21">
        <f>COUNTIF(Studies!AT4:AT265,"*Code-to-code*")</f>
        <v>3</v>
      </c>
      <c r="C7" s="22">
        <f t="shared" si="0"/>
        <v>1.1450381679389313E-2</v>
      </c>
    </row>
    <row r="8" spans="1:3">
      <c r="A8" t="s">
        <v>350</v>
      </c>
      <c r="B8" s="21">
        <f>COUNTIF(Studies!AT4:AT265,"*refactoring*")</f>
        <v>51</v>
      </c>
      <c r="C8" s="22">
        <f t="shared" si="0"/>
        <v>0.19465648854961831</v>
      </c>
    </row>
    <row r="9" spans="1:3">
      <c r="A9" t="s">
        <v>351</v>
      </c>
      <c r="B9" s="21">
        <f>COUNTIF(Studies!AT4:AT265,"*Migration*")</f>
        <v>66</v>
      </c>
      <c r="C9" s="22">
        <f t="shared" si="0"/>
        <v>0.25190839694656486</v>
      </c>
    </row>
    <row r="10" spans="1:3">
      <c r="A10" t="s">
        <v>358</v>
      </c>
      <c r="B10" s="21">
        <f>COUNTIF(Studies!AT4:AT265,"*Model execution*")</f>
        <v>4</v>
      </c>
      <c r="C10" s="22">
        <f t="shared" si="0"/>
        <v>1.5267175572519083E-2</v>
      </c>
    </row>
    <row r="11" spans="1:3">
      <c r="A11" t="s">
        <v>605</v>
      </c>
      <c r="B11" s="21">
        <f>COUNTIF(Studies!AT4:AT265,"*Text-to-model*") +COUNTIF(Studies!AT4:AT248,"*Text/code-to-model*")</f>
        <v>17</v>
      </c>
      <c r="C11" s="22">
        <f t="shared" si="0"/>
        <v>6.4885496183206104E-2</v>
      </c>
    </row>
    <row r="12" spans="1:3">
      <c r="A12" t="s">
        <v>352</v>
      </c>
      <c r="B12" s="21">
        <f>COUNTIF(Studies!AT4:AT265,"*Reactive*")</f>
        <v>19</v>
      </c>
      <c r="C12" s="22">
        <f t="shared" si="0"/>
        <v>7.2519083969465645E-2</v>
      </c>
    </row>
    <row r="13" spans="1:3">
      <c r="A13" t="s">
        <v>355</v>
      </c>
      <c r="B13" s="21">
        <f>COUNTIF(Studies!AT4:AT265,"*Refinement*")</f>
        <v>74</v>
      </c>
      <c r="C13" s="22">
        <f t="shared" si="0"/>
        <v>0.28244274809160308</v>
      </c>
    </row>
    <row r="14" spans="1:3">
      <c r="A14" t="s">
        <v>360</v>
      </c>
      <c r="B14" s="21">
        <f>COUNTIF(Studies!AT4:AT265,"*Semantic mapping*")</f>
        <v>18</v>
      </c>
      <c r="C14" s="22">
        <f t="shared" si="0"/>
        <v>6.8702290076335881E-2</v>
      </c>
    </row>
    <row r="15" spans="1:3">
      <c r="A15" t="s">
        <v>366</v>
      </c>
      <c r="B15" s="21">
        <f>COUNTIF(Studies!AT4:AT265,"*Reverse engineering*")</f>
        <v>1</v>
      </c>
      <c r="C15" s="22">
        <f t="shared" si="0"/>
        <v>3.8167938931297708E-3</v>
      </c>
    </row>
    <row r="23" spans="1:3" ht="15">
      <c r="A23" s="24" t="s">
        <v>48</v>
      </c>
      <c r="B23" s="25" t="s">
        <v>590</v>
      </c>
      <c r="C23" s="25" t="s">
        <v>589</v>
      </c>
    </row>
    <row r="24" spans="1:3">
      <c r="A24" t="s">
        <v>368</v>
      </c>
      <c r="B24" s="21">
        <f>COUNTIF(Studies!AU4:AU265,"*small*")</f>
        <v>174</v>
      </c>
      <c r="C24" s="22">
        <f t="shared" ref="C24:C26" si="1">B24/B$1</f>
        <v>0.66412213740458015</v>
      </c>
    </row>
    <row r="25" spans="1:3">
      <c r="A25" t="s">
        <v>369</v>
      </c>
      <c r="B25" s="21">
        <f>COUNTIF(Studies!AU4:AU265,"*Medium*")</f>
        <v>73</v>
      </c>
      <c r="C25" s="22">
        <f t="shared" si="1"/>
        <v>0.2786259541984733</v>
      </c>
    </row>
    <row r="26" spans="1:3">
      <c r="A26" t="s">
        <v>370</v>
      </c>
      <c r="B26" s="21">
        <f>COUNTIF(Studies!AU4:AU265,"*Large*")</f>
        <v>15</v>
      </c>
      <c r="C26" s="22">
        <f t="shared" si="1"/>
        <v>5.7251908396946563E-2</v>
      </c>
    </row>
    <row r="27" spans="1:3">
      <c r="C27" s="22"/>
    </row>
    <row r="28" spans="1:3">
      <c r="C28" s="22"/>
    </row>
    <row r="29" spans="1:3">
      <c r="C29" s="22"/>
    </row>
    <row r="35" spans="1:3" ht="15">
      <c r="A35" s="24" t="s">
        <v>606</v>
      </c>
      <c r="B35" s="25" t="s">
        <v>590</v>
      </c>
      <c r="C35" s="25" t="s">
        <v>589</v>
      </c>
    </row>
    <row r="36" spans="1:3">
      <c r="A36" t="s">
        <v>371</v>
      </c>
      <c r="B36" s="21">
        <f>COUNTIF(Studies!AY4:AY265,"*Green*")</f>
        <v>251</v>
      </c>
      <c r="C36" s="22">
        <f>B36/B$1</f>
        <v>0.9580152671755725</v>
      </c>
    </row>
    <row r="37" spans="1:3">
      <c r="A37" t="s">
        <v>373</v>
      </c>
      <c r="B37" s="21">
        <f>COUNTIF(Studies!AY4:AY265,"*Brown*")</f>
        <v>11</v>
      </c>
      <c r="C37" s="22">
        <f t="shared" ref="C37" si="2">B37/B$1</f>
        <v>4.1984732824427481E-2</v>
      </c>
    </row>
    <row r="38" spans="1:3">
      <c r="C38" s="22"/>
    </row>
    <row r="39" spans="1:3">
      <c r="C39" s="22"/>
    </row>
    <row r="40" spans="1:3">
      <c r="C40" s="22"/>
    </row>
    <row r="41" spans="1:3">
      <c r="C41" s="22"/>
    </row>
    <row r="42" spans="1:3">
      <c r="C42" s="22"/>
    </row>
    <row r="43" spans="1:3">
      <c r="C43" s="22"/>
    </row>
    <row r="44" spans="1:3">
      <c r="C44" s="22"/>
    </row>
    <row r="45" spans="1:3">
      <c r="C45" s="22"/>
    </row>
    <row r="48" spans="1:3" ht="15">
      <c r="A48" s="24" t="s">
        <v>607</v>
      </c>
      <c r="B48" s="25" t="s">
        <v>590</v>
      </c>
      <c r="C48" s="25" t="s">
        <v>589</v>
      </c>
    </row>
    <row r="49" spans="1:3">
      <c r="A49" t="s">
        <v>608</v>
      </c>
      <c r="B49" s="21">
        <f>COUNTIF(Studies!AZ4:AZ265,"*Academic*")</f>
        <v>241</v>
      </c>
      <c r="C49" s="22">
        <f t="shared" ref="C49:C50" si="3">B49/B$1</f>
        <v>0.91984732824427484</v>
      </c>
    </row>
    <row r="50" spans="1:3">
      <c r="A50" t="s">
        <v>374</v>
      </c>
      <c r="B50" s="21">
        <f>COUNTIF(Studies!AZ4:AZ265,"*industry*")</f>
        <v>21</v>
      </c>
      <c r="C50" s="22">
        <f t="shared" si="3"/>
        <v>8.0152671755725186E-2</v>
      </c>
    </row>
    <row r="56" spans="1:3" ht="15">
      <c r="A56" s="24" t="s">
        <v>692</v>
      </c>
      <c r="B56" s="25" t="s">
        <v>590</v>
      </c>
      <c r="C56" s="25" t="s">
        <v>589</v>
      </c>
    </row>
    <row r="57" spans="1:3">
      <c r="A57" t="s">
        <v>684</v>
      </c>
      <c r="B57" s="21">
        <f>COUNTIF(Studies!AV4:AV266,"*Customer*")</f>
        <v>250</v>
      </c>
      <c r="C57" s="22">
        <f t="shared" ref="C57:C58" si="4">B57/B$1</f>
        <v>0.95419847328244278</v>
      </c>
    </row>
    <row r="58" spans="1:3">
      <c r="A58" t="s">
        <v>685</v>
      </c>
      <c r="B58" s="21">
        <f>COUNTIF(Studies!AV4:AV266,"*Market*")</f>
        <v>12</v>
      </c>
      <c r="C58" s="22">
        <f t="shared" si="4"/>
        <v>4.5801526717557252E-2</v>
      </c>
    </row>
    <row r="63" spans="1:3" ht="15">
      <c r="A63" s="24" t="s">
        <v>693</v>
      </c>
      <c r="B63" s="25" t="s">
        <v>590</v>
      </c>
      <c r="C63" s="25" t="s">
        <v>589</v>
      </c>
    </row>
    <row r="64" spans="1:3">
      <c r="A64" t="s">
        <v>694</v>
      </c>
      <c r="B64" s="21">
        <f>COUNTIF(Studies!AW4:AW280,"*In-House*")</f>
        <v>254</v>
      </c>
      <c r="C64" s="22">
        <f t="shared" ref="C64:C65" si="5">B64/B$1</f>
        <v>0.96946564885496178</v>
      </c>
    </row>
    <row r="65" spans="1:3">
      <c r="A65" t="s">
        <v>688</v>
      </c>
      <c r="B65" s="21">
        <f>COUNTIF(Studies!AW4:AW280,"*Outsourced*")</f>
        <v>8</v>
      </c>
      <c r="C65" s="22">
        <f t="shared" si="5"/>
        <v>3.0534351145038167E-2</v>
      </c>
    </row>
    <row r="69" spans="1:3" ht="15">
      <c r="A69" s="24" t="s">
        <v>695</v>
      </c>
      <c r="B69" s="25" t="s">
        <v>590</v>
      </c>
      <c r="C69" s="25" t="s">
        <v>589</v>
      </c>
    </row>
    <row r="70" spans="1:3">
      <c r="A70" t="s">
        <v>690</v>
      </c>
      <c r="B70" s="21">
        <f>COUNTIF(Studies!AX4:AX286,"*Single*")</f>
        <v>257</v>
      </c>
      <c r="C70" s="22">
        <f t="shared" ref="C70:C71" si="6">B70/B$1</f>
        <v>0.98091603053435117</v>
      </c>
    </row>
    <row r="71" spans="1:3">
      <c r="A71" t="s">
        <v>691</v>
      </c>
      <c r="B71" s="21">
        <f>COUNTIF(Studies!AX4:AX286,"*Line*")</f>
        <v>5</v>
      </c>
      <c r="C71" s="22">
        <f t="shared" si="6"/>
        <v>1.9083969465648856E-2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4DE26-5EAF-4043-B527-B4B6494562E9}">
  <dimension ref="A1:C6"/>
  <sheetViews>
    <sheetView workbookViewId="0">
      <selection activeCell="Q36" sqref="Q36"/>
    </sheetView>
  </sheetViews>
  <sheetFormatPr defaultRowHeight="14.25"/>
  <cols>
    <col min="1" max="1" width="19.25" style="51" customWidth="1"/>
    <col min="2" max="16384" width="9" style="51"/>
  </cols>
  <sheetData>
    <row r="1" spans="1:3" ht="15">
      <c r="A1" s="49" t="s">
        <v>696</v>
      </c>
      <c r="B1" s="50" t="s">
        <v>697</v>
      </c>
      <c r="C1" s="50" t="s">
        <v>698</v>
      </c>
    </row>
    <row r="2" spans="1:3">
      <c r="A2" s="51" t="s">
        <v>700</v>
      </c>
      <c r="B2" s="51">
        <v>8.02</v>
      </c>
      <c r="C2" s="51">
        <v>91.98</v>
      </c>
    </row>
    <row r="3" spans="1:3">
      <c r="A3" s="51" t="s">
        <v>702</v>
      </c>
      <c r="B3" s="51">
        <v>1.91</v>
      </c>
      <c r="C3" s="51">
        <v>98.09</v>
      </c>
    </row>
    <row r="4" spans="1:3">
      <c r="A4" s="51" t="s">
        <v>703</v>
      </c>
      <c r="B4" s="51">
        <v>3.05</v>
      </c>
      <c r="C4" s="51">
        <v>96.95</v>
      </c>
    </row>
    <row r="5" spans="1:3">
      <c r="A5" s="51" t="s">
        <v>701</v>
      </c>
      <c r="B5" s="51">
        <v>4.58</v>
      </c>
      <c r="C5" s="51">
        <v>95.42</v>
      </c>
    </row>
    <row r="6" spans="1:3">
      <c r="A6" s="51" t="s">
        <v>699</v>
      </c>
      <c r="B6" s="51">
        <v>95.8</v>
      </c>
      <c r="C6" s="51">
        <v>4.2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E6B85-73BF-46AE-8DD8-7FD39BD312C0}">
  <dimension ref="A1:J76"/>
  <sheetViews>
    <sheetView topLeftCell="A19" workbookViewId="0">
      <selection activeCell="C77" sqref="C77"/>
    </sheetView>
  </sheetViews>
  <sheetFormatPr defaultRowHeight="14.25"/>
  <cols>
    <col min="1" max="1" width="10.75" style="21" customWidth="1"/>
    <col min="2" max="2" width="65.125" customWidth="1"/>
    <col min="3" max="3" width="17.25" style="21" customWidth="1"/>
    <col min="4" max="4" width="17.875" style="21" customWidth="1"/>
    <col min="7" max="7" width="6.875" style="21" customWidth="1"/>
    <col min="8" max="8" width="29.75" customWidth="1"/>
    <col min="9" max="9" width="16.25" style="21" customWidth="1"/>
    <col min="10" max="10" width="13.5" style="21" customWidth="1"/>
  </cols>
  <sheetData>
    <row r="1" spans="1:10" ht="15">
      <c r="B1" s="24" t="s">
        <v>583</v>
      </c>
      <c r="C1" s="21">
        <v>262</v>
      </c>
      <c r="H1" s="67" t="s">
        <v>634</v>
      </c>
      <c r="I1" s="67"/>
      <c r="J1" s="67"/>
    </row>
    <row r="3" spans="1:10" ht="15">
      <c r="A3" s="25" t="s">
        <v>635</v>
      </c>
      <c r="B3" s="24" t="s">
        <v>51</v>
      </c>
      <c r="C3" s="25" t="s">
        <v>590</v>
      </c>
      <c r="D3" s="25" t="s">
        <v>589</v>
      </c>
      <c r="G3" s="25" t="s">
        <v>637</v>
      </c>
      <c r="H3" s="24" t="s">
        <v>51</v>
      </c>
      <c r="I3" s="25" t="s">
        <v>590</v>
      </c>
      <c r="J3" s="25" t="s">
        <v>589</v>
      </c>
    </row>
    <row r="4" spans="1:10">
      <c r="A4" s="27">
        <v>1</v>
      </c>
      <c r="B4" t="s">
        <v>378</v>
      </c>
      <c r="C4" s="21">
        <f>COUNTIF(Studies!BA4:BA265,"MDE")+COUNTIF(Studies!BA4:BA265,"MDE for MT")</f>
        <v>10</v>
      </c>
      <c r="D4" s="22">
        <f>C4/C$1</f>
        <v>3.8167938931297711E-2</v>
      </c>
      <c r="G4" s="27">
        <v>1</v>
      </c>
      <c r="H4" t="s">
        <v>378</v>
      </c>
      <c r="I4" s="21">
        <f>C4+C6</f>
        <v>35</v>
      </c>
      <c r="J4" s="22">
        <f>I4/C$1</f>
        <v>0.13358778625954199</v>
      </c>
    </row>
    <row r="5" spans="1:10">
      <c r="A5" s="29">
        <v>2</v>
      </c>
      <c r="B5" t="s">
        <v>387</v>
      </c>
      <c r="C5" s="21">
        <f>COUNTIF(Studies!BA4:BA265,"*Agile MDE*")</f>
        <v>11</v>
      </c>
      <c r="D5" s="22">
        <f t="shared" ref="D5:D21" si="0">C5/C$1</f>
        <v>4.1984732824427481E-2</v>
      </c>
      <c r="G5" s="34">
        <v>2</v>
      </c>
      <c r="H5" t="s">
        <v>387</v>
      </c>
      <c r="I5" s="21">
        <f>C5</f>
        <v>11</v>
      </c>
      <c r="J5" s="22">
        <f t="shared" ref="J5:J10" si="1">I5/C$1</f>
        <v>4.1984732824427481E-2</v>
      </c>
    </row>
    <row r="6" spans="1:10">
      <c r="A6" s="27">
        <v>1</v>
      </c>
      <c r="B6" t="s">
        <v>404</v>
      </c>
      <c r="C6" s="21">
        <f>COUNTIF(Studies!BA4:BA265,"*MDA*")</f>
        <v>25</v>
      </c>
      <c r="D6" s="22">
        <f t="shared" si="0"/>
        <v>9.5419847328244281E-2</v>
      </c>
      <c r="G6" s="28">
        <v>3</v>
      </c>
      <c r="H6" t="s">
        <v>419</v>
      </c>
      <c r="I6" s="21">
        <f>C7+C8+C14+C16+C20</f>
        <v>18</v>
      </c>
      <c r="J6" s="22">
        <f t="shared" si="1"/>
        <v>6.8702290076335881E-2</v>
      </c>
    </row>
    <row r="7" spans="1:10">
      <c r="A7" s="28">
        <v>3</v>
      </c>
      <c r="B7" t="s">
        <v>451</v>
      </c>
      <c r="C7" s="21">
        <f>COUNTIF(Studies!BA4:BA265,"*Controlled experiments*")</f>
        <v>3</v>
      </c>
      <c r="D7" s="22">
        <f t="shared" si="0"/>
        <v>1.1450381679389313E-2</v>
      </c>
      <c r="G7" s="30">
        <v>4</v>
      </c>
      <c r="H7" t="s">
        <v>16</v>
      </c>
      <c r="I7" s="21">
        <f>C9+C10+C18</f>
        <v>8</v>
      </c>
      <c r="J7" s="22">
        <f t="shared" si="1"/>
        <v>3.0534351145038167E-2</v>
      </c>
    </row>
    <row r="8" spans="1:10">
      <c r="A8" s="28">
        <v>3</v>
      </c>
      <c r="B8" t="s">
        <v>609</v>
      </c>
      <c r="C8" s="21">
        <f>COUNTIF(Studies!BA4:BA265,"*Design patterns,
verification through
testing and inspection*")</f>
        <v>2</v>
      </c>
      <c r="D8" s="22">
        <f t="shared" si="0"/>
        <v>7.6335877862595417E-3</v>
      </c>
      <c r="G8" s="21">
        <v>5</v>
      </c>
      <c r="H8" t="s">
        <v>649</v>
      </c>
      <c r="I8" s="21">
        <f>C11+C12+C13+C15+C17</f>
        <v>21</v>
      </c>
      <c r="J8" s="22">
        <f t="shared" si="1"/>
        <v>8.0152671755725186E-2</v>
      </c>
    </row>
    <row r="9" spans="1:10">
      <c r="A9" s="30">
        <v>4</v>
      </c>
      <c r="B9" t="s">
        <v>423</v>
      </c>
      <c r="C9" s="21">
        <f>COUNTIF(Studies!BA4:BA265,"*Derive MTs from logical specifications*")</f>
        <v>1</v>
      </c>
      <c r="D9" s="22">
        <f t="shared" si="0"/>
        <v>3.8167938931297708E-3</v>
      </c>
      <c r="G9" s="35">
        <v>6</v>
      </c>
      <c r="H9" t="s">
        <v>435</v>
      </c>
      <c r="I9" s="21">
        <f>C19</f>
        <v>9</v>
      </c>
      <c r="J9" s="22">
        <f t="shared" si="1"/>
        <v>3.4351145038167941E-2</v>
      </c>
    </row>
    <row r="10" spans="1:10">
      <c r="A10" s="30">
        <v>4</v>
      </c>
      <c r="B10" t="s">
        <v>16</v>
      </c>
      <c r="C10" s="21">
        <f>COUNTIF(Studies!BA4:BA265,"*Formal methods*")</f>
        <v>6</v>
      </c>
      <c r="D10" s="22">
        <f t="shared" si="0"/>
        <v>2.2900763358778626E-2</v>
      </c>
      <c r="G10" s="36">
        <v>7</v>
      </c>
      <c r="H10" t="s">
        <v>268</v>
      </c>
      <c r="I10" s="21">
        <f>C21</f>
        <v>161</v>
      </c>
      <c r="J10" s="22">
        <f t="shared" si="1"/>
        <v>0.6145038167938931</v>
      </c>
    </row>
    <row r="11" spans="1:10">
      <c r="A11" s="21">
        <v>5</v>
      </c>
      <c r="B11" t="s">
        <v>650</v>
      </c>
      <c r="C11" s="21">
        <f>COUNTIF(Studies!BA4:BA265,"*Incremental development,
evolutionary prototyping*")</f>
        <v>1</v>
      </c>
      <c r="D11" s="22">
        <f t="shared" si="0"/>
        <v>3.8167938931297708E-3</v>
      </c>
    </row>
    <row r="12" spans="1:10">
      <c r="A12" s="21">
        <v>5</v>
      </c>
      <c r="B12" t="s">
        <v>383</v>
      </c>
      <c r="C12" s="21">
        <f>COUNTIF(Studies!BA4:BA265,"*Incremental,
iterative*")</f>
        <v>17</v>
      </c>
      <c r="D12" s="22">
        <f t="shared" si="0"/>
        <v>6.4885496183206104E-2</v>
      </c>
    </row>
    <row r="13" spans="1:10">
      <c r="A13" s="21">
        <v>5</v>
      </c>
      <c r="B13" t="s">
        <v>610</v>
      </c>
      <c r="C13" s="21">
        <f>COUNTIF(Studies!BA4:BA265,"*Incremental,
experimentation*")</f>
        <v>1</v>
      </c>
      <c r="D13" s="22">
        <f t="shared" si="0"/>
        <v>3.8167938931297708E-3</v>
      </c>
    </row>
    <row r="14" spans="1:10">
      <c r="A14" s="28">
        <v>3</v>
      </c>
      <c r="B14" t="s">
        <v>430</v>
      </c>
      <c r="C14" s="21">
        <f>COUNTIF(Studies!BA4:BA265,"*MT embedded in re-engineering process*")</f>
        <v>1</v>
      </c>
      <c r="D14" s="22">
        <f t="shared" si="0"/>
        <v>3.8167938931297708E-3</v>
      </c>
    </row>
    <row r="15" spans="1:10">
      <c r="A15" s="21">
        <v>5</v>
      </c>
      <c r="B15" t="s">
        <v>350</v>
      </c>
      <c r="C15" s="21">
        <f>COUNTIF(Studies!BA4:BA265,"*Refactoring*")</f>
        <v>1</v>
      </c>
      <c r="D15" s="22">
        <f t="shared" si="0"/>
        <v>3.8167938931297708E-3</v>
      </c>
    </row>
    <row r="16" spans="1:10">
      <c r="A16" s="28">
        <v>3</v>
      </c>
      <c r="B16" t="s">
        <v>419</v>
      </c>
      <c r="C16" s="21">
        <f>COUNTIF(Studies!BA4:BA265,"*Prototyping*")</f>
        <v>10</v>
      </c>
      <c r="D16" s="22">
        <f t="shared" si="0"/>
        <v>3.8167938931297711E-2</v>
      </c>
    </row>
    <row r="17" spans="1:10">
      <c r="A17" s="21">
        <v>5</v>
      </c>
      <c r="B17" t="s">
        <v>447</v>
      </c>
      <c r="C17" s="21">
        <f>COUNTIF(Studies!BA4:BA265,"*Phased*")</f>
        <v>1</v>
      </c>
      <c r="D17" s="22">
        <f t="shared" si="0"/>
        <v>3.8167938931297708E-3</v>
      </c>
    </row>
    <row r="18" spans="1:10">
      <c r="A18" s="30">
        <v>4</v>
      </c>
      <c r="B18" t="s">
        <v>611</v>
      </c>
      <c r="C18" s="21">
        <f>COUNTIF(Studies!BA4:BA265,"*Use case-driven
approach*")</f>
        <v>1</v>
      </c>
      <c r="D18" s="22">
        <f t="shared" si="0"/>
        <v>3.8167938931297708E-3</v>
      </c>
    </row>
    <row r="19" spans="1:10">
      <c r="A19" s="35">
        <v>6</v>
      </c>
      <c r="B19" t="s">
        <v>435</v>
      </c>
      <c r="C19" s="21">
        <f>COUNTIF(Studies!BA4:BA265,"*Specification by example*")</f>
        <v>9</v>
      </c>
      <c r="D19" s="22">
        <f t="shared" si="0"/>
        <v>3.4351145038167941E-2</v>
      </c>
    </row>
    <row r="20" spans="1:10">
      <c r="A20" s="28">
        <v>3</v>
      </c>
      <c r="B20" t="s">
        <v>443</v>
      </c>
      <c r="C20" s="21">
        <f>COUNTIF(Studies!BA4:BA265,"*Validation using industrial cases*")</f>
        <v>2</v>
      </c>
      <c r="D20" s="22">
        <f t="shared" si="0"/>
        <v>7.6335877862595417E-3</v>
      </c>
    </row>
    <row r="21" spans="1:10">
      <c r="A21" s="36">
        <v>7</v>
      </c>
      <c r="B21" t="s">
        <v>268</v>
      </c>
      <c r="C21" s="21">
        <f>COUNTIF(Studies!BA4:BA265,"*None*")</f>
        <v>161</v>
      </c>
      <c r="D21" s="22">
        <f t="shared" si="0"/>
        <v>0.6145038167938931</v>
      </c>
    </row>
    <row r="22" spans="1:10">
      <c r="D22" s="22"/>
    </row>
    <row r="26" spans="1:10" ht="15">
      <c r="A26" s="25" t="s">
        <v>635</v>
      </c>
      <c r="B26" s="24" t="s">
        <v>52</v>
      </c>
      <c r="C26" s="25" t="s">
        <v>590</v>
      </c>
      <c r="D26" s="25" t="s">
        <v>589</v>
      </c>
      <c r="G26" s="25" t="s">
        <v>637</v>
      </c>
      <c r="H26" s="24" t="s">
        <v>52</v>
      </c>
      <c r="I26" s="25" t="s">
        <v>590</v>
      </c>
      <c r="J26" s="25" t="s">
        <v>589</v>
      </c>
    </row>
    <row r="27" spans="1:10">
      <c r="A27" s="27">
        <v>1</v>
      </c>
      <c r="B27" t="s">
        <v>375</v>
      </c>
      <c r="C27" s="21">
        <f>COUNTIF(Studies!BB4:BB265,"*UML class diagram*")</f>
        <v>137</v>
      </c>
      <c r="D27" s="22">
        <f>C27/C$1</f>
        <v>0.52290076335877866</v>
      </c>
      <c r="G27" s="27">
        <v>1</v>
      </c>
      <c r="H27" t="s">
        <v>375</v>
      </c>
      <c r="I27" s="21">
        <f>C27</f>
        <v>137</v>
      </c>
      <c r="J27" s="22">
        <f>I27/C$1</f>
        <v>0.52290076335877866</v>
      </c>
    </row>
    <row r="28" spans="1:10">
      <c r="A28" s="29">
        <v>2</v>
      </c>
      <c r="B28" t="s">
        <v>424</v>
      </c>
      <c r="C28" s="21">
        <f>COUNTIF(Studies!BB4:BB265,"*Architecture diagrams*")</f>
        <v>3</v>
      </c>
      <c r="D28" s="22">
        <f t="shared" ref="D28:D45" si="2">C28/C$1</f>
        <v>1.1450381679389313E-2</v>
      </c>
      <c r="G28" s="34">
        <v>2</v>
      </c>
      <c r="H28" t="s">
        <v>424</v>
      </c>
      <c r="I28" s="21">
        <f>C28</f>
        <v>3</v>
      </c>
      <c r="J28" s="22">
        <f t="shared" ref="J28:J37" si="3">I28/C$1</f>
        <v>1.1450381679389313E-2</v>
      </c>
    </row>
    <row r="29" spans="1:10">
      <c r="A29" s="28">
        <v>3</v>
      </c>
      <c r="B29" t="s">
        <v>411</v>
      </c>
      <c r="C29" s="21">
        <f>COUNTIF(Studies!BB4:BB265,"*BPMN diagrams*")</f>
        <v>1</v>
      </c>
      <c r="D29" s="22">
        <f t="shared" si="2"/>
        <v>3.8167938931297708E-3</v>
      </c>
      <c r="G29" s="28">
        <v>3</v>
      </c>
      <c r="H29" t="s">
        <v>651</v>
      </c>
      <c r="I29" s="21">
        <f>C29+C32+C39</f>
        <v>3</v>
      </c>
      <c r="J29" s="22">
        <f t="shared" si="3"/>
        <v>1.1450381679389313E-2</v>
      </c>
    </row>
    <row r="30" spans="1:10">
      <c r="A30" s="30">
        <v>4</v>
      </c>
      <c r="B30" t="s">
        <v>449</v>
      </c>
      <c r="C30" s="21">
        <f>COUNTIF(Studies!BB4:BB265,"*Concrete grammar diagrams*")</f>
        <v>6</v>
      </c>
      <c r="D30" s="22">
        <f t="shared" si="2"/>
        <v>2.2900763358778626E-2</v>
      </c>
      <c r="G30" s="30">
        <v>4</v>
      </c>
      <c r="H30" t="s">
        <v>415</v>
      </c>
      <c r="I30" s="21">
        <f>C30+C31+C35</f>
        <v>15</v>
      </c>
      <c r="J30" s="22">
        <f t="shared" si="3"/>
        <v>5.7251908396946563E-2</v>
      </c>
    </row>
    <row r="31" spans="1:10">
      <c r="A31" s="30">
        <v>4</v>
      </c>
      <c r="B31" t="s">
        <v>446</v>
      </c>
      <c r="C31" s="21">
        <f>COUNTIF(Studies!BB4:BB265,"*Concrete syntax diagrams*")</f>
        <v>5</v>
      </c>
      <c r="D31" s="22">
        <f t="shared" si="2"/>
        <v>1.9083969465648856E-2</v>
      </c>
      <c r="G31" s="40">
        <v>5</v>
      </c>
      <c r="H31" t="s">
        <v>613</v>
      </c>
      <c r="I31" s="21">
        <f>C43</f>
        <v>2</v>
      </c>
      <c r="J31" s="22">
        <f t="shared" si="3"/>
        <v>7.6335877862595417E-3</v>
      </c>
    </row>
    <row r="32" spans="1:10">
      <c r="A32" s="28">
        <v>3</v>
      </c>
      <c r="B32" t="s">
        <v>413</v>
      </c>
      <c r="C32" s="21">
        <f>COUNTIF(Studies!BB4:BB265,"*Control block diagrams*")</f>
        <v>1</v>
      </c>
      <c r="D32" s="22">
        <f t="shared" si="2"/>
        <v>3.8167938931297708E-3</v>
      </c>
      <c r="G32" s="35">
        <v>6</v>
      </c>
      <c r="H32" t="s">
        <v>406</v>
      </c>
      <c r="I32" s="21">
        <f>C34+C44</f>
        <v>3</v>
      </c>
      <c r="J32" s="22">
        <f t="shared" si="3"/>
        <v>1.1450381679389313E-2</v>
      </c>
    </row>
    <row r="33" spans="1:10">
      <c r="A33" s="21">
        <v>10</v>
      </c>
      <c r="B33" t="s">
        <v>417</v>
      </c>
      <c r="C33" s="21">
        <f>COUNTIF(Studies!BB4:BB265,"*Customised*")</f>
        <v>2</v>
      </c>
      <c r="D33" s="22">
        <f t="shared" si="2"/>
        <v>7.6335877862595417E-3</v>
      </c>
      <c r="G33" s="37">
        <v>7</v>
      </c>
      <c r="H33" t="s">
        <v>402</v>
      </c>
      <c r="I33" s="21">
        <f>C36</f>
        <v>5</v>
      </c>
      <c r="J33" s="22">
        <f t="shared" si="3"/>
        <v>1.9083969465648856E-2</v>
      </c>
    </row>
    <row r="34" spans="1:10">
      <c r="A34" s="35">
        <v>6</v>
      </c>
      <c r="B34" t="s">
        <v>406</v>
      </c>
      <c r="C34" s="21">
        <f>COUNTIF(Studies!BB4:BB265,"*Feature diagrams*")</f>
        <v>2</v>
      </c>
      <c r="D34" s="22">
        <f t="shared" si="2"/>
        <v>7.6335877862595417E-3</v>
      </c>
      <c r="G34" s="38">
        <v>8</v>
      </c>
      <c r="H34" t="s">
        <v>652</v>
      </c>
      <c r="I34" s="21">
        <f>C40</f>
        <v>13</v>
      </c>
      <c r="J34" s="22">
        <f t="shared" si="3"/>
        <v>4.9618320610687022E-2</v>
      </c>
    </row>
    <row r="35" spans="1:10">
      <c r="A35" s="30">
        <v>4</v>
      </c>
      <c r="B35" t="s">
        <v>415</v>
      </c>
      <c r="C35" s="21">
        <f>COUNTIF(Studies!BB4:BB265,"*Graph diagrams*")</f>
        <v>4</v>
      </c>
      <c r="D35" s="22">
        <f t="shared" si="2"/>
        <v>1.5267175572519083E-2</v>
      </c>
      <c r="G35" s="39">
        <v>9</v>
      </c>
      <c r="H35" t="s">
        <v>653</v>
      </c>
      <c r="I35" s="21">
        <f>C41</f>
        <v>5</v>
      </c>
      <c r="J35" s="22">
        <f t="shared" si="3"/>
        <v>1.9083969465648856E-2</v>
      </c>
    </row>
    <row r="36" spans="1:10">
      <c r="A36" s="37">
        <v>7</v>
      </c>
      <c r="B36" t="s">
        <v>402</v>
      </c>
      <c r="C36" s="21">
        <f>COUNTIF(Studies!BB4:BB265,"*Object diagrams*")</f>
        <v>5</v>
      </c>
      <c r="D36" s="22">
        <f t="shared" si="2"/>
        <v>1.9083969465648856E-2</v>
      </c>
      <c r="G36" s="21">
        <v>10</v>
      </c>
      <c r="H36" t="s">
        <v>654</v>
      </c>
      <c r="I36" s="21">
        <f>C33+C37+C38+C42</f>
        <v>8</v>
      </c>
      <c r="J36" s="22">
        <f t="shared" si="3"/>
        <v>3.0534351145038167E-2</v>
      </c>
    </row>
    <row r="37" spans="1:10">
      <c r="A37" s="21">
        <v>10</v>
      </c>
      <c r="B37" t="s">
        <v>408</v>
      </c>
      <c r="C37" s="21">
        <f>COUNTIF(Studies!BB4:BB265,"*Simulink models*")</f>
        <v>1</v>
      </c>
      <c r="D37" s="22">
        <f t="shared" si="2"/>
        <v>3.8167938931297708E-3</v>
      </c>
      <c r="G37" s="43">
        <v>11</v>
      </c>
      <c r="H37" t="s">
        <v>268</v>
      </c>
      <c r="I37" s="21">
        <f>C45</f>
        <v>29</v>
      </c>
      <c r="J37" s="22">
        <f t="shared" si="3"/>
        <v>0.11068702290076336</v>
      </c>
    </row>
    <row r="38" spans="1:10">
      <c r="A38" s="21">
        <v>10</v>
      </c>
      <c r="B38" t="s">
        <v>412</v>
      </c>
      <c r="C38" s="21">
        <f>COUNTIF(Studies!BB4:BB265,"*Specialised*")</f>
        <v>4</v>
      </c>
      <c r="D38" s="22">
        <f t="shared" si="2"/>
        <v>1.5267175572519083E-2</v>
      </c>
    </row>
    <row r="39" spans="1:10">
      <c r="A39" s="28">
        <v>3</v>
      </c>
      <c r="B39" t="s">
        <v>421</v>
      </c>
      <c r="C39" s="21">
        <f>COUNTIF(Studies!BB4:BB265,"*Process models*")</f>
        <v>1</v>
      </c>
      <c r="D39" s="22">
        <f t="shared" si="2"/>
        <v>3.8167938931297708E-3</v>
      </c>
    </row>
    <row r="40" spans="1:10">
      <c r="A40" s="38">
        <v>8</v>
      </c>
      <c r="B40" t="s">
        <v>563</v>
      </c>
      <c r="C40" s="21">
        <f>COUNTIF(Studies!BB4:BB265,"*Statemachine diagram*")</f>
        <v>13</v>
      </c>
      <c r="D40" s="22">
        <f t="shared" si="2"/>
        <v>4.9618320610687022E-2</v>
      </c>
    </row>
    <row r="41" spans="1:10">
      <c r="A41" s="39">
        <v>9</v>
      </c>
      <c r="B41" t="s">
        <v>577</v>
      </c>
      <c r="C41" s="21">
        <f>COUNTIF(Studies!BB4:BB265,"*SysML Model*")</f>
        <v>5</v>
      </c>
      <c r="D41" s="22">
        <f t="shared" si="2"/>
        <v>1.9083969465648856E-2</v>
      </c>
    </row>
    <row r="42" spans="1:10">
      <c r="A42" s="21">
        <v>10</v>
      </c>
      <c r="B42" t="s">
        <v>612</v>
      </c>
      <c r="C42" s="21">
        <f>COUNTIF(Studies!BB4:BB265,"*UI task models*")</f>
        <v>1</v>
      </c>
      <c r="D42" s="22">
        <f t="shared" si="2"/>
        <v>3.8167938931297708E-3</v>
      </c>
    </row>
    <row r="43" spans="1:10">
      <c r="A43" s="40">
        <v>5</v>
      </c>
      <c r="B43" t="s">
        <v>613</v>
      </c>
      <c r="C43" s="21">
        <f>COUNTIF(Studies!BB4:BB265,"*sequence diagrams*")</f>
        <v>2</v>
      </c>
      <c r="D43" s="22">
        <f t="shared" si="2"/>
        <v>7.6335877862595417E-3</v>
      </c>
    </row>
    <row r="44" spans="1:10">
      <c r="A44" s="35">
        <v>6</v>
      </c>
      <c r="B44" t="s">
        <v>614</v>
      </c>
      <c r="C44" s="21">
        <f>COUNTIF(Studies!BB4:BB265,"*feature models*")</f>
        <v>1</v>
      </c>
      <c r="D44" s="22">
        <f t="shared" si="2"/>
        <v>3.8167938931297708E-3</v>
      </c>
    </row>
    <row r="45" spans="1:10">
      <c r="A45" s="43">
        <v>11</v>
      </c>
      <c r="B45" t="s">
        <v>268</v>
      </c>
      <c r="C45" s="21">
        <f>COUNTIF(Studies!BB4:BB265,"*none*")</f>
        <v>29</v>
      </c>
      <c r="D45" s="22">
        <f t="shared" si="2"/>
        <v>0.11068702290076336</v>
      </c>
    </row>
    <row r="52" spans="1:10" ht="15">
      <c r="A52" s="25" t="s">
        <v>635</v>
      </c>
      <c r="B52" s="24" t="s">
        <v>53</v>
      </c>
      <c r="C52" s="25" t="s">
        <v>590</v>
      </c>
      <c r="D52" s="25" t="s">
        <v>589</v>
      </c>
      <c r="G52" s="25" t="s">
        <v>637</v>
      </c>
      <c r="H52" s="24" t="s">
        <v>53</v>
      </c>
      <c r="I52" s="25" t="s">
        <v>590</v>
      </c>
      <c r="J52" s="25" t="s">
        <v>589</v>
      </c>
    </row>
    <row r="53" spans="1:10">
      <c r="A53" s="27">
        <v>1</v>
      </c>
      <c r="B53" t="s">
        <v>434</v>
      </c>
      <c r="C53" s="21">
        <f>COUNTIF(Studies!BC4:BC265,"*Concrete grammar*")</f>
        <v>12</v>
      </c>
      <c r="D53" s="22">
        <f>C53/C$1</f>
        <v>4.5801526717557252E-2</v>
      </c>
      <c r="G53" s="27">
        <v>1</v>
      </c>
      <c r="H53" t="s">
        <v>655</v>
      </c>
      <c r="I53" s="21">
        <f>C53+C55+C57</f>
        <v>47</v>
      </c>
      <c r="J53" s="22">
        <f>I53/C$1</f>
        <v>0.17938931297709923</v>
      </c>
    </row>
    <row r="54" spans="1:10">
      <c r="A54" s="34">
        <v>2</v>
      </c>
      <c r="B54" t="s">
        <v>431</v>
      </c>
      <c r="C54" s="21">
        <f>COUNTIF(Studies!BC4:BC265,"*Domain analysis*")</f>
        <v>1</v>
      </c>
      <c r="D54" s="22">
        <f t="shared" ref="D54:D76" si="4">C54/C$1</f>
        <v>3.8167938931297708E-3</v>
      </c>
      <c r="G54" s="34">
        <v>2</v>
      </c>
      <c r="H54" t="s">
        <v>431</v>
      </c>
      <c r="I54" s="21">
        <f>C54+C62+C64+C71</f>
        <v>81</v>
      </c>
      <c r="J54" s="22">
        <f t="shared" ref="J54:J61" si="5">I54/C$1</f>
        <v>0.30916030534351147</v>
      </c>
    </row>
    <row r="55" spans="1:10">
      <c r="A55" s="27">
        <v>1</v>
      </c>
      <c r="B55" t="s">
        <v>445</v>
      </c>
      <c r="C55" s="21">
        <f>COUNTIF(Studies!BC4:BC265,"*Concrete syntax mapping rules*")</f>
        <v>2</v>
      </c>
      <c r="D55" s="22">
        <f t="shared" si="4"/>
        <v>7.6335877862595417E-3</v>
      </c>
      <c r="G55" s="28">
        <v>3</v>
      </c>
      <c r="H55" t="s">
        <v>419</v>
      </c>
      <c r="I55" s="21">
        <f>C56</f>
        <v>17</v>
      </c>
      <c r="J55" s="22">
        <f t="shared" si="5"/>
        <v>6.4885496183206104E-2</v>
      </c>
    </row>
    <row r="56" spans="1:10">
      <c r="A56" s="28">
        <v>3</v>
      </c>
      <c r="B56" s="23" t="s">
        <v>419</v>
      </c>
      <c r="C56" s="21">
        <f>COUNTIF(Studies!BC4:BC265,"*prototyping*")</f>
        <v>17</v>
      </c>
      <c r="D56" s="22">
        <f t="shared" si="4"/>
        <v>6.4885496183206104E-2</v>
      </c>
      <c r="G56" s="30">
        <v>4</v>
      </c>
      <c r="H56" t="s">
        <v>656</v>
      </c>
      <c r="I56" s="21">
        <f>C58+C59+C60+C63</f>
        <v>17</v>
      </c>
      <c r="J56" s="22">
        <f t="shared" si="5"/>
        <v>6.4885496183206104E-2</v>
      </c>
    </row>
    <row r="57" spans="1:10">
      <c r="A57" s="27">
        <v>1</v>
      </c>
      <c r="B57" t="s">
        <v>433</v>
      </c>
      <c r="C57" s="21">
        <f>COUNTIF(Studies!BC4:BC265,"*Formal specifications*")</f>
        <v>33</v>
      </c>
      <c r="D57" s="22">
        <f t="shared" si="4"/>
        <v>0.12595419847328243</v>
      </c>
      <c r="G57" s="39">
        <v>5</v>
      </c>
      <c r="H57" t="s">
        <v>657</v>
      </c>
      <c r="I57" s="21">
        <f>C65</f>
        <v>34</v>
      </c>
      <c r="J57" s="22">
        <f t="shared" si="5"/>
        <v>0.12977099236641221</v>
      </c>
    </row>
    <row r="58" spans="1:10">
      <c r="A58" s="30">
        <v>4</v>
      </c>
      <c r="B58" t="s">
        <v>418</v>
      </c>
      <c r="C58" s="21">
        <f>COUNTIF(Studies!BC4:BC265,"*Informal specifications*")</f>
        <v>4</v>
      </c>
      <c r="D58" s="22">
        <f t="shared" si="4"/>
        <v>1.5267175572519083E-2</v>
      </c>
      <c r="G58" s="35">
        <v>6</v>
      </c>
      <c r="H58" t="s">
        <v>622</v>
      </c>
      <c r="I58" s="21">
        <f>C66+C74+C75</f>
        <v>59</v>
      </c>
      <c r="J58" s="22">
        <f t="shared" si="5"/>
        <v>0.22519083969465647</v>
      </c>
    </row>
    <row r="59" spans="1:10">
      <c r="A59" s="30">
        <v>4</v>
      </c>
      <c r="B59" t="s">
        <v>426</v>
      </c>
      <c r="C59" s="21">
        <f>COUNTIF(Studies!BC4:BC265,"*Informal mappings*")</f>
        <v>2</v>
      </c>
      <c r="D59" s="22">
        <f t="shared" si="4"/>
        <v>7.6335877862595417E-3</v>
      </c>
      <c r="G59" s="41">
        <v>7</v>
      </c>
      <c r="H59" t="s">
        <v>624</v>
      </c>
      <c r="I59" s="21">
        <f>C67+C68+C69+C70+C72+C73</f>
        <v>8</v>
      </c>
      <c r="J59" s="22">
        <f t="shared" si="5"/>
        <v>3.0534351145038167E-2</v>
      </c>
    </row>
    <row r="60" spans="1:10">
      <c r="A60" s="30">
        <v>4</v>
      </c>
      <c r="B60" t="s">
        <v>616</v>
      </c>
      <c r="C60" s="21">
        <f>COUNTIF(Studies!BC4:BC265,"*Graphical mapping*")</f>
        <v>2</v>
      </c>
      <c r="D60" s="22">
        <f t="shared" si="4"/>
        <v>7.6335877862595417E-3</v>
      </c>
      <c r="G60" s="21">
        <v>8</v>
      </c>
      <c r="H60" t="s">
        <v>618</v>
      </c>
      <c r="I60" s="21">
        <f>C61</f>
        <v>2</v>
      </c>
      <c r="J60" s="22">
        <f t="shared" si="5"/>
        <v>7.6335877862595417E-3</v>
      </c>
    </row>
    <row r="61" spans="1:10">
      <c r="A61" s="21">
        <v>8</v>
      </c>
      <c r="B61" t="s">
        <v>618</v>
      </c>
      <c r="C61" s="21">
        <f>COUNTIF(Studies!BC4:BC265,"*Not explicit*")</f>
        <v>2</v>
      </c>
      <c r="D61" s="22">
        <f t="shared" si="4"/>
        <v>7.6335877862595417E-3</v>
      </c>
      <c r="G61" s="43">
        <v>9</v>
      </c>
      <c r="H61" t="s">
        <v>268</v>
      </c>
      <c r="I61" s="21">
        <f>C76</f>
        <v>79</v>
      </c>
      <c r="J61" s="22">
        <f t="shared" si="5"/>
        <v>0.30152671755725191</v>
      </c>
    </row>
    <row r="62" spans="1:10">
      <c r="A62" s="34">
        <v>2</v>
      </c>
      <c r="B62" t="s">
        <v>400</v>
      </c>
      <c r="C62" s="21">
        <f>COUNTIF(Studies!BC4:BC265,"*Scenario analysis*")</f>
        <v>77</v>
      </c>
      <c r="D62" s="22">
        <f t="shared" si="4"/>
        <v>0.29389312977099236</v>
      </c>
    </row>
    <row r="63" spans="1:10">
      <c r="A63" s="30">
        <v>4</v>
      </c>
      <c r="B63" t="s">
        <v>399</v>
      </c>
      <c r="C63" s="21">
        <f>COUNTIF(Studies!BC4:BC265,"*Prioritization*")</f>
        <v>9</v>
      </c>
      <c r="D63" s="22">
        <f t="shared" si="4"/>
        <v>3.4351145038167941E-2</v>
      </c>
    </row>
    <row r="64" spans="1:10">
      <c r="A64" s="34">
        <v>2</v>
      </c>
      <c r="B64" t="s">
        <v>619</v>
      </c>
      <c r="C64" s="21">
        <f>COUNTIF(Studies!BC4:BC265,"*Observation*")</f>
        <v>2</v>
      </c>
      <c r="D64" s="22">
        <f t="shared" si="4"/>
        <v>7.6335877862595417E-3</v>
      </c>
    </row>
    <row r="65" spans="1:4">
      <c r="A65" s="39">
        <v>5</v>
      </c>
      <c r="B65" t="s">
        <v>621</v>
      </c>
      <c r="C65" s="21">
        <f>COUNTIF(Studies!BC4:BC265,"*Semi-formal rule specification*")</f>
        <v>34</v>
      </c>
      <c r="D65" s="22">
        <f t="shared" si="4"/>
        <v>0.12977099236641221</v>
      </c>
    </row>
    <row r="66" spans="1:4">
      <c r="A66" s="35">
        <v>6</v>
      </c>
      <c r="B66" t="s">
        <v>622</v>
      </c>
      <c r="C66" s="21">
        <f>COUNTIF(Studies!BC4:BC265,"*experimental evaluation*")</f>
        <v>57</v>
      </c>
      <c r="D66" s="22">
        <f t="shared" si="4"/>
        <v>0.21755725190839695</v>
      </c>
    </row>
    <row r="67" spans="1:4">
      <c r="A67" s="41">
        <v>7</v>
      </c>
      <c r="B67" t="s">
        <v>440</v>
      </c>
      <c r="C67" s="21">
        <f>COUNTIF(Studies!BC4:BC265,"*Stakeholder participation*")</f>
        <v>1</v>
      </c>
      <c r="D67" s="22">
        <f t="shared" si="4"/>
        <v>3.8167938931297708E-3</v>
      </c>
    </row>
    <row r="68" spans="1:4">
      <c r="A68" s="41">
        <v>7</v>
      </c>
      <c r="B68" t="s">
        <v>623</v>
      </c>
      <c r="C68" s="21">
        <f>COUNTIF(Studies!BC4:BC265,"*Stakeholder identification*")</f>
        <v>2</v>
      </c>
      <c r="D68" s="22">
        <f t="shared" si="4"/>
        <v>7.6335877862595417E-3</v>
      </c>
    </row>
    <row r="69" spans="1:4">
      <c r="A69" s="41">
        <v>7</v>
      </c>
      <c r="B69" t="s">
        <v>624</v>
      </c>
      <c r="C69" s="21">
        <f>COUNTIF(Studies!BC4:BC265,"*stakeholder collaboration*")</f>
        <v>2</v>
      </c>
      <c r="D69" s="22">
        <f t="shared" si="4"/>
        <v>7.6335877862595417E-3</v>
      </c>
    </row>
    <row r="70" spans="1:4">
      <c r="A70" s="41">
        <v>7</v>
      </c>
      <c r="B70" t="s">
        <v>625</v>
      </c>
      <c r="C70" s="21">
        <f>COUNTIF(Studies!BC4:BC265,"*Structured interviews*")</f>
        <v>1</v>
      </c>
      <c r="D70" s="22">
        <f t="shared" si="4"/>
        <v>3.8167938931297708E-3</v>
      </c>
    </row>
    <row r="71" spans="1:4">
      <c r="A71" s="34">
        <v>2</v>
      </c>
      <c r="B71" t="s">
        <v>626</v>
      </c>
      <c r="C71" s="21">
        <f>COUNTIF(Studies!BC4:BC265,"*Detailed RE process*")</f>
        <v>1</v>
      </c>
      <c r="D71" s="22">
        <f t="shared" si="4"/>
        <v>3.8167938931297708E-3</v>
      </c>
    </row>
    <row r="72" spans="1:4">
      <c r="A72" s="41">
        <v>7</v>
      </c>
      <c r="B72" t="s">
        <v>627</v>
      </c>
      <c r="C72" s="21">
        <f>COUNTIF(Studies!BC4:BC265,"*Survey of developers*")</f>
        <v>1</v>
      </c>
      <c r="D72" s="22">
        <f t="shared" si="4"/>
        <v>3.8167938931297708E-3</v>
      </c>
    </row>
    <row r="73" spans="1:4">
      <c r="A73" s="41">
        <v>7</v>
      </c>
      <c r="B73" t="s">
        <v>628</v>
      </c>
      <c r="C73" s="21">
        <f>COUNTIF(Studies!BC4:BC265,"*Survey and questionnaire*")</f>
        <v>1</v>
      </c>
      <c r="D73" s="22">
        <f t="shared" si="4"/>
        <v>3.8167938931297708E-3</v>
      </c>
    </row>
    <row r="74" spans="1:4">
      <c r="A74" s="42">
        <v>6</v>
      </c>
      <c r="B74" t="s">
        <v>629</v>
      </c>
      <c r="C74" s="21">
        <f>COUNTIF(Studies!BC4:BC265,"*Empirical studies*")</f>
        <v>1</v>
      </c>
      <c r="D74" s="22">
        <f t="shared" si="4"/>
        <v>3.8167938931297708E-3</v>
      </c>
    </row>
    <row r="75" spans="1:4">
      <c r="A75" s="42">
        <v>6</v>
      </c>
      <c r="B75" t="s">
        <v>401</v>
      </c>
      <c r="C75" s="21">
        <f>COUNTIF(Studies!BC4:BC265,"*Validation scenarios*")</f>
        <v>1</v>
      </c>
      <c r="D75" s="22">
        <f t="shared" si="4"/>
        <v>3.8167938931297708E-3</v>
      </c>
    </row>
    <row r="76" spans="1:4">
      <c r="A76" s="43">
        <v>9</v>
      </c>
      <c r="B76" t="s">
        <v>268</v>
      </c>
      <c r="C76" s="21">
        <f>COUNTIF(Studies!BC4:BC265,"*None*")</f>
        <v>79</v>
      </c>
      <c r="D76" s="22">
        <f t="shared" si="4"/>
        <v>0.30152671755725191</v>
      </c>
    </row>
  </sheetData>
  <mergeCells count="1">
    <mergeCell ref="H1:J1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35BAD-8C0A-4559-BB25-2BB400F47BFD}">
  <dimension ref="A1:C45"/>
  <sheetViews>
    <sheetView topLeftCell="D1" zoomScale="150" zoomScaleNormal="150" workbookViewId="0">
      <selection activeCell="E9" sqref="E9"/>
    </sheetView>
  </sheetViews>
  <sheetFormatPr defaultRowHeight="14.25"/>
  <cols>
    <col min="1" max="1" width="45.875" customWidth="1"/>
    <col min="2" max="2" width="20" style="21" customWidth="1"/>
    <col min="3" max="3" width="18.375" customWidth="1"/>
    <col min="6" max="6" width="4.375" customWidth="1"/>
    <col min="18" max="18" width="7.125" customWidth="1"/>
  </cols>
  <sheetData>
    <row r="1" spans="1:3" ht="15">
      <c r="A1" s="24" t="s">
        <v>583</v>
      </c>
      <c r="B1" s="21">
        <v>262</v>
      </c>
      <c r="C1" s="21"/>
    </row>
    <row r="2" spans="1:3">
      <c r="C2" s="21"/>
    </row>
    <row r="3" spans="1:3" ht="15">
      <c r="A3" s="24" t="s">
        <v>55</v>
      </c>
      <c r="B3" s="25" t="s">
        <v>590</v>
      </c>
      <c r="C3" s="25" t="s">
        <v>589</v>
      </c>
    </row>
    <row r="4" spans="1:3">
      <c r="A4" s="21">
        <v>0</v>
      </c>
      <c r="B4" s="21">
        <f>COUNTIF(Studies!BD4:BD265,"0")</f>
        <v>1</v>
      </c>
      <c r="C4" s="22">
        <f>B4/B$1</f>
        <v>3.8167938931297708E-3</v>
      </c>
    </row>
    <row r="5" spans="1:3">
      <c r="A5" s="21">
        <v>1</v>
      </c>
      <c r="B5" s="21">
        <f>COUNTIF(Studies!BD4:BD265,"1")</f>
        <v>52</v>
      </c>
      <c r="C5" s="22">
        <f t="shared" ref="C5:C12" si="0">B5/B$1</f>
        <v>0.19847328244274809</v>
      </c>
    </row>
    <row r="6" spans="1:3">
      <c r="A6" s="21">
        <v>2</v>
      </c>
      <c r="B6" s="21">
        <f>COUNTIF(Studies!BD4:BD265,"2")</f>
        <v>57</v>
      </c>
      <c r="C6" s="22">
        <f t="shared" si="0"/>
        <v>0.21755725190839695</v>
      </c>
    </row>
    <row r="7" spans="1:3">
      <c r="A7" s="21">
        <v>3</v>
      </c>
      <c r="B7" s="21">
        <f>COUNTIF(Studies!BD4:BD265,"3")</f>
        <v>58</v>
      </c>
      <c r="C7" s="22">
        <f t="shared" si="0"/>
        <v>0.22137404580152673</v>
      </c>
    </row>
    <row r="8" spans="1:3">
      <c r="A8" s="21">
        <v>4</v>
      </c>
      <c r="B8" s="21">
        <f>COUNTIF(Studies!BD4:BD265,"4")</f>
        <v>49</v>
      </c>
      <c r="C8" s="22">
        <f t="shared" si="0"/>
        <v>0.18702290076335878</v>
      </c>
    </row>
    <row r="9" spans="1:3">
      <c r="A9" s="21">
        <v>5</v>
      </c>
      <c r="B9" s="21">
        <f>COUNTIF(Studies!BD4:BD265,"5")</f>
        <v>19</v>
      </c>
      <c r="C9" s="22">
        <f t="shared" si="0"/>
        <v>7.2519083969465645E-2</v>
      </c>
    </row>
    <row r="10" spans="1:3">
      <c r="A10" s="21">
        <v>6</v>
      </c>
      <c r="B10" s="21">
        <f>COUNTIF(Studies!BD4:BD265,"6")</f>
        <v>11</v>
      </c>
      <c r="C10" s="22">
        <f t="shared" si="0"/>
        <v>4.1984732824427481E-2</v>
      </c>
    </row>
    <row r="11" spans="1:3">
      <c r="A11" s="21">
        <v>7</v>
      </c>
      <c r="B11" s="21">
        <f>COUNTIF(Studies!BD4:BD265,"7")</f>
        <v>5</v>
      </c>
      <c r="C11" s="22">
        <f t="shared" si="0"/>
        <v>1.9083969465648856E-2</v>
      </c>
    </row>
    <row r="12" spans="1:3">
      <c r="A12" s="21">
        <v>8</v>
      </c>
      <c r="B12" s="21">
        <f>COUNTIF(Studies!BD4:BD265,"8")</f>
        <v>1</v>
      </c>
      <c r="C12" s="22">
        <f t="shared" si="0"/>
        <v>3.8167938931297708E-3</v>
      </c>
    </row>
    <row r="13" spans="1:3">
      <c r="A13" s="21"/>
    </row>
    <row r="14" spans="1:3">
      <c r="A14" s="21"/>
    </row>
    <row r="15" spans="1:3">
      <c r="A15" s="21"/>
    </row>
    <row r="16" spans="1:3">
      <c r="A16" s="21"/>
    </row>
    <row r="17" spans="1:3">
      <c r="A17" s="21"/>
    </row>
    <row r="18" spans="1:3">
      <c r="A18" s="21"/>
    </row>
    <row r="19" spans="1:3">
      <c r="A19" s="21"/>
    </row>
    <row r="20" spans="1:3">
      <c r="A20" s="21"/>
    </row>
    <row r="21" spans="1:3">
      <c r="A21" s="21"/>
    </row>
    <row r="24" spans="1:3" ht="15">
      <c r="A24" s="24" t="s">
        <v>56</v>
      </c>
      <c r="B24" s="25" t="s">
        <v>590</v>
      </c>
      <c r="C24" s="25" t="s">
        <v>589</v>
      </c>
    </row>
    <row r="25" spans="1:3">
      <c r="A25" s="21" t="s">
        <v>630</v>
      </c>
      <c r="B25" s="21">
        <f>COUNTIF(Studies!BE4:BE265,"low")</f>
        <v>71</v>
      </c>
      <c r="C25" s="22">
        <f>B25/B$1</f>
        <v>0.27099236641221375</v>
      </c>
    </row>
    <row r="26" spans="1:3">
      <c r="A26" s="26" t="s">
        <v>632</v>
      </c>
      <c r="B26" s="21">
        <f>COUNTIF(Studies!BE4:BE265,"med")</f>
        <v>140</v>
      </c>
      <c r="C26" s="22">
        <f t="shared" ref="C26:C28" si="1">B26/B$1</f>
        <v>0.53435114503816794</v>
      </c>
    </row>
    <row r="27" spans="1:3">
      <c r="A27" s="26" t="s">
        <v>631</v>
      </c>
      <c r="B27" s="21">
        <f>COUNTIF(Studies!BE4:BE265,"high")</f>
        <v>41</v>
      </c>
      <c r="C27" s="22">
        <f t="shared" si="1"/>
        <v>0.15648854961832062</v>
      </c>
    </row>
    <row r="28" spans="1:3">
      <c r="A28" s="21" t="s">
        <v>633</v>
      </c>
      <c r="B28" s="21">
        <f>COUNTIF(Studies!BE4:BE265,"unknown")</f>
        <v>9</v>
      </c>
      <c r="C28" s="22">
        <f t="shared" si="1"/>
        <v>3.4351145038167941E-2</v>
      </c>
    </row>
    <row r="41" spans="1:3" ht="15">
      <c r="A41" s="24" t="s">
        <v>57</v>
      </c>
      <c r="B41" s="25" t="s">
        <v>590</v>
      </c>
      <c r="C41" s="25" t="s">
        <v>589</v>
      </c>
    </row>
    <row r="42" spans="1:3">
      <c r="A42" s="21" t="s">
        <v>630</v>
      </c>
      <c r="B42" s="21">
        <f>COUNTIF(Studies!BF4:BF265,"low")</f>
        <v>4</v>
      </c>
      <c r="C42" s="22">
        <f>B42/B$1</f>
        <v>1.5267175572519083E-2</v>
      </c>
    </row>
    <row r="43" spans="1:3">
      <c r="A43" s="26" t="s">
        <v>632</v>
      </c>
      <c r="B43" s="21">
        <f>COUNTIF(Studies!BF4:BF265,"med")</f>
        <v>49</v>
      </c>
      <c r="C43" s="22">
        <f t="shared" ref="C43:C45" si="2">B43/B$1</f>
        <v>0.18702290076335878</v>
      </c>
    </row>
    <row r="44" spans="1:3">
      <c r="A44" s="26" t="s">
        <v>631</v>
      </c>
      <c r="B44" s="21">
        <f>COUNTIF(Studies!BF4:BF265,"high")</f>
        <v>11</v>
      </c>
      <c r="C44" s="22">
        <f t="shared" si="2"/>
        <v>4.1984732824427481E-2</v>
      </c>
    </row>
    <row r="45" spans="1:3">
      <c r="A45" s="21" t="s">
        <v>633</v>
      </c>
      <c r="B45" s="21">
        <f>COUNTIF(Studies!BF4:BF265,"unknown")</f>
        <v>197</v>
      </c>
      <c r="C45" s="22">
        <f t="shared" si="2"/>
        <v>0.75190839694656486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Studies</vt:lpstr>
      <vt:lpstr>Stakeholders Information</vt:lpstr>
      <vt:lpstr>MT Requirements</vt:lpstr>
      <vt:lpstr>MT Project Information</vt:lpstr>
      <vt:lpstr>Sheet1</vt:lpstr>
      <vt:lpstr>Methodology Information</vt:lpstr>
      <vt:lpstr>SLR Case Outcomes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2024-07-29T16:49:13Z</dcterms:modified>
</cp:coreProperties>
</file>